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4" yWindow="72" windowWidth="14784" windowHeight="8412"/>
  </bookViews>
  <sheets>
    <sheet name="PDC e rendimenti" sheetId="3" r:id="rId1"/>
    <sheet name="Eph" sheetId="4" r:id="rId2"/>
    <sheet name="Eph limite" sheetId="1" r:id="rId3"/>
    <sheet name="Trasmittanze" sheetId="2" r:id="rId4"/>
  </sheets>
  <calcPr calcId="125725"/>
</workbook>
</file>

<file path=xl/calcChain.xml><?xml version="1.0" encoding="utf-8"?>
<calcChain xmlns="http://schemas.openxmlformats.org/spreadsheetml/2006/main">
  <c r="B36" i="2"/>
  <c r="I50" i="3"/>
  <c r="I57" s="1"/>
  <c r="C50"/>
  <c r="C57" s="1"/>
  <c r="I127"/>
  <c r="C127"/>
  <c r="I54"/>
  <c r="C54"/>
  <c r="I126"/>
  <c r="C126"/>
  <c r="I53"/>
  <c r="C53"/>
  <c r="I125"/>
  <c r="C125"/>
  <c r="I52"/>
  <c r="C52"/>
  <c r="I116"/>
  <c r="I118" s="1"/>
  <c r="I115"/>
  <c r="I114"/>
  <c r="K107"/>
  <c r="K106"/>
  <c r="K105"/>
  <c r="K104"/>
  <c r="C115"/>
  <c r="C114"/>
  <c r="C116" s="1"/>
  <c r="C118" s="1"/>
  <c r="E107"/>
  <c r="E106"/>
  <c r="E105"/>
  <c r="E104"/>
  <c r="I42"/>
  <c r="I41"/>
  <c r="I43" s="1"/>
  <c r="I45" s="1"/>
  <c r="K34"/>
  <c r="K33"/>
  <c r="K32"/>
  <c r="K31"/>
  <c r="K35" s="1"/>
  <c r="K36" s="1"/>
  <c r="H90"/>
  <c r="B90"/>
  <c r="H88"/>
  <c r="B88"/>
  <c r="H85"/>
  <c r="J79" s="1"/>
  <c r="B85"/>
  <c r="D79" s="1"/>
  <c r="H83"/>
  <c r="B83"/>
  <c r="B10"/>
  <c r="H10"/>
  <c r="E34"/>
  <c r="E33"/>
  <c r="E32"/>
  <c r="E31"/>
  <c r="H15"/>
  <c r="B15"/>
  <c r="H17"/>
  <c r="H12"/>
  <c r="J6" s="1"/>
  <c r="H14" s="1"/>
  <c r="B17"/>
  <c r="B12"/>
  <c r="D6" s="1"/>
  <c r="B18" s="1"/>
  <c r="C42"/>
  <c r="C41"/>
  <c r="E108" l="1"/>
  <c r="E109" s="1"/>
  <c r="C123" s="1"/>
  <c r="C130" s="1"/>
  <c r="K108"/>
  <c r="K109" s="1"/>
  <c r="I123" s="1"/>
  <c r="I130" s="1"/>
  <c r="I129"/>
  <c r="C129"/>
  <c r="I56"/>
  <c r="C56"/>
  <c r="B91"/>
  <c r="B87"/>
  <c r="B89" s="1"/>
  <c r="H91"/>
  <c r="H87"/>
  <c r="H89" s="1"/>
  <c r="H16"/>
  <c r="C43"/>
  <c r="C45" s="1"/>
  <c r="H18"/>
  <c r="B14"/>
  <c r="B16" s="1"/>
  <c r="E35"/>
  <c r="E36" s="1"/>
  <c r="B21" i="4"/>
  <c r="B10"/>
  <c r="B39" i="2"/>
  <c r="B40" s="1"/>
  <c r="D34"/>
  <c r="B34"/>
  <c r="D33"/>
  <c r="D32"/>
  <c r="H93" i="3" l="1"/>
  <c r="H95" s="1"/>
  <c r="B93"/>
  <c r="B95" s="1"/>
  <c r="H20"/>
  <c r="H22" s="1"/>
  <c r="B20"/>
  <c r="B22" s="1"/>
  <c r="D19" i="2"/>
  <c r="D20" s="1"/>
  <c r="D18"/>
  <c r="D17"/>
  <c r="D11"/>
  <c r="D10"/>
  <c r="D9"/>
  <c r="D8"/>
  <c r="D7"/>
  <c r="D6"/>
  <c r="D5"/>
  <c r="D4"/>
  <c r="D12" s="1"/>
  <c r="D13" s="1"/>
  <c r="B23" i="1"/>
  <c r="B7"/>
  <c r="B20"/>
  <c r="B12"/>
  <c r="B13" s="1"/>
  <c r="I104" i="3" l="1"/>
  <c r="J104" s="1"/>
  <c r="J108" s="1"/>
  <c r="J109" s="1"/>
  <c r="I112" s="1"/>
  <c r="I105"/>
  <c r="J105" s="1"/>
  <c r="I106"/>
  <c r="J106" s="1"/>
  <c r="I107"/>
  <c r="J107" s="1"/>
  <c r="C107"/>
  <c r="D107" s="1"/>
  <c r="C104"/>
  <c r="D104" s="1"/>
  <c r="C105"/>
  <c r="D105" s="1"/>
  <c r="C106"/>
  <c r="D106" s="1"/>
  <c r="I31"/>
  <c r="J31" s="1"/>
  <c r="J35" s="1"/>
  <c r="J36" s="1"/>
  <c r="I39" s="1"/>
  <c r="I32"/>
  <c r="J32" s="1"/>
  <c r="I33"/>
  <c r="J33" s="1"/>
  <c r="I34"/>
  <c r="J34" s="1"/>
  <c r="C34"/>
  <c r="C31"/>
  <c r="C32"/>
  <c r="D32" s="1"/>
  <c r="C33"/>
  <c r="D33" s="1"/>
  <c r="D34"/>
  <c r="D31"/>
  <c r="B8" i="4"/>
  <c r="D108" i="3" l="1"/>
  <c r="D109" s="1"/>
  <c r="C112" s="1"/>
  <c r="I46"/>
  <c r="I119"/>
  <c r="D35"/>
  <c r="D36" s="1"/>
  <c r="C39" s="1"/>
  <c r="B13" i="4"/>
  <c r="B15" s="1"/>
  <c r="C119" i="3" l="1"/>
  <c r="C46"/>
</calcChain>
</file>

<file path=xl/sharedStrings.xml><?xml version="1.0" encoding="utf-8"?>
<sst xmlns="http://schemas.openxmlformats.org/spreadsheetml/2006/main" count="395" uniqueCount="123">
  <si>
    <t>kWh/anno</t>
  </si>
  <si>
    <t>m2</t>
  </si>
  <si>
    <t>gg</t>
  </si>
  <si>
    <t>kW</t>
  </si>
  <si>
    <t>m3</t>
  </si>
  <si>
    <t>riferiti alla superficie esterna disperdente S/V</t>
  </si>
  <si>
    <t>Area calpestabile</t>
  </si>
  <si>
    <t>kWh/m2 a</t>
  </si>
  <si>
    <t>kWh/m3 a</t>
  </si>
  <si>
    <t>ore /gg</t>
  </si>
  <si>
    <t>Rendimento Caldaia</t>
  </si>
  <si>
    <t>Rapporto S/V</t>
  </si>
  <si>
    <t>Ore riscaldamento</t>
  </si>
  <si>
    <t>Rendim. Impianto</t>
  </si>
  <si>
    <t>In riferimento alla superficie calpestabile</t>
  </si>
  <si>
    <t>Consumo</t>
  </si>
  <si>
    <t>volume disperdente</t>
  </si>
  <si>
    <t>superficie disperdente</t>
  </si>
  <si>
    <t>Consumi MAX. da legge 10</t>
  </si>
  <si>
    <t>Zona climatica E</t>
  </si>
  <si>
    <t>Volume esterno</t>
  </si>
  <si>
    <t>Superficie esterna</t>
  </si>
  <si>
    <t>Dalal tabella LEGGE 10 noto S/V si ricava la dispersione MAX prevista per legge (che dovrebbe essere stata rispettata)</t>
  </si>
  <si>
    <t>Fabbisogno energetico annuo</t>
  </si>
  <si>
    <t>Fabbisogno energetico annuo /m3</t>
  </si>
  <si>
    <t>Giorni riscaldamento zona E</t>
  </si>
  <si>
    <t>Potenza istantanea dispersa</t>
  </si>
  <si>
    <t>CALCOLO POTENZA DIPERSA NOTO IL FABBISOGNO TERMICO ANNUALE (CLASSE ENERGETICA)</t>
  </si>
  <si>
    <t>Eph</t>
  </si>
  <si>
    <t>Volume esterno disperdente</t>
  </si>
  <si>
    <t>Superficie esterna disperdente</t>
  </si>
  <si>
    <t>Uno standard metro cubo di gas metano (Smc) corrisponde a 10,69 kWh</t>
  </si>
  <si>
    <t xml:space="preserve">Sm3 metano PCI 38,5 MJ/Smc </t>
  </si>
  <si>
    <t>Volume di metano necessario</t>
  </si>
  <si>
    <t>€ / Sm3</t>
  </si>
  <si>
    <t>€</t>
  </si>
  <si>
    <t>cal/g</t>
  </si>
  <si>
    <t xml:space="preserve">Dalla  Q lat. = mvap* hv = mvap*( 2501 + 1,805 T)   [kJ] </t>
  </si>
  <si>
    <t>CALCOLO TEMPERATURA EQUIVALENTE</t>
  </si>
  <si>
    <t>TRASMITTANZE STRUTTURE</t>
  </si>
  <si>
    <t>PARETE</t>
  </si>
  <si>
    <t>SERRAMENTI</t>
  </si>
  <si>
    <t>aria</t>
  </si>
  <si>
    <t>legno + vetro singolo</t>
  </si>
  <si>
    <t>T est. Estiva</t>
  </si>
  <si>
    <t>UR.</t>
  </si>
  <si>
    <t>°C</t>
  </si>
  <si>
    <t>g/kg a.s.</t>
  </si>
  <si>
    <t>kJ</t>
  </si>
  <si>
    <t>umidità assoluta x</t>
  </si>
  <si>
    <t>Cp aria</t>
  </si>
  <si>
    <t>%</t>
  </si>
  <si>
    <t>R tot</t>
  </si>
  <si>
    <t>U</t>
  </si>
  <si>
    <t>w/m2 k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</si>
  <si>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</si>
  <si>
    <t>J/Kg k</t>
  </si>
  <si>
    <t>Ct acqua</t>
  </si>
  <si>
    <t>cal °C/ g</t>
  </si>
  <si>
    <t>Rendim. Tot Impianto Risc.</t>
  </si>
  <si>
    <t>Costo metano</t>
  </si>
  <si>
    <t>Spesa invernale media</t>
  </si>
  <si>
    <t>punti</t>
  </si>
  <si>
    <t>2s</t>
  </si>
  <si>
    <t>p  BAR</t>
  </si>
  <si>
    <t>T  °C</t>
  </si>
  <si>
    <t>h  kI/kg</t>
  </si>
  <si>
    <t>vol. spec.  m3/Kg</t>
  </si>
  <si>
    <t>l compr</t>
  </si>
  <si>
    <t>kJ/Kg</t>
  </si>
  <si>
    <t>qi</t>
  </si>
  <si>
    <t>qs</t>
  </si>
  <si>
    <t>COP</t>
  </si>
  <si>
    <t>n isoentr</t>
  </si>
  <si>
    <t>locale</t>
  </si>
  <si>
    <t>Pot. Eletr.</t>
  </si>
  <si>
    <t>sala</t>
  </si>
  <si>
    <t>cucina</t>
  </si>
  <si>
    <t>bagno</t>
  </si>
  <si>
    <t>camera</t>
  </si>
  <si>
    <t>Kwh anno</t>
  </si>
  <si>
    <t>Giorni funzionamento</t>
  </si>
  <si>
    <t>Pot. Termica</t>
  </si>
  <si>
    <t>PDC</t>
  </si>
  <si>
    <t>Caldaia</t>
  </si>
  <si>
    <t>Costo Unità Esterna</t>
  </si>
  <si>
    <t>Costo Unità Interne</t>
  </si>
  <si>
    <t>Manodopera</t>
  </si>
  <si>
    <t>tot. + sconto 20%</t>
  </si>
  <si>
    <t>Ristrutturazione 50%</t>
  </si>
  <si>
    <t>ROI</t>
  </si>
  <si>
    <t>h2</t>
  </si>
  <si>
    <t>l reale</t>
  </si>
  <si>
    <t>volumetrico</t>
  </si>
  <si>
    <t>SCOP</t>
  </si>
  <si>
    <t>rend. m+el</t>
  </si>
  <si>
    <t>rapp. Press.</t>
  </si>
  <si>
    <t>Stagionale</t>
  </si>
  <si>
    <t>scroll</t>
  </si>
  <si>
    <t>h</t>
  </si>
  <si>
    <t>g</t>
  </si>
  <si>
    <t>Ore funzionamento giorno</t>
  </si>
  <si>
    <t>Ore funzionamento notte</t>
  </si>
  <si>
    <t>STIMA COSTI IMPIANTO</t>
  </si>
  <si>
    <t>Risparmio</t>
  </si>
  <si>
    <t>CON FOTOVOLTAICO</t>
  </si>
  <si>
    <t>Fotovoltaico 1 Kwp</t>
  </si>
  <si>
    <t>1 g di vapore condensato riscalda 1 Kg aria di circa 2.5 °C</t>
  </si>
  <si>
    <t>intonaco</t>
  </si>
  <si>
    <t>laterizio</t>
  </si>
  <si>
    <t>CALCOLO POTENZA ISTANTANEA MEDIA NOTO Eph</t>
  </si>
  <si>
    <t>mediamente dispersa dalla superficie disperdente</t>
  </si>
  <si>
    <t>GAS R32 CON COMPRESSORE VOLUMETRICO</t>
  </si>
  <si>
    <t>GAS R32 CON COMPRESSORE SCROLL</t>
  </si>
  <si>
    <t>Per avere UR 50% (benessere) dovrei condensare</t>
  </si>
  <si>
    <t>massa di vapore</t>
  </si>
  <si>
    <t>Q latente vap.</t>
  </si>
  <si>
    <t>cal. Lat. Vaporizz.</t>
  </si>
  <si>
    <t>J/kg</t>
  </si>
  <si>
    <t>Dalla Q= m Ct * DT ricavo il DT di aumento dell'aria</t>
  </si>
  <si>
    <t>per effetto dei 5g di vapore condensati per avere benessere</t>
  </si>
  <si>
    <t>T equivalente</t>
  </si>
  <si>
    <t>LA temperatura percepita a 28°C con 70% UR è di + di 40°C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</si>
</sst>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%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565E67"/>
      <name val="Calibri"/>
      <family val="2"/>
      <scheme val="minor"/>
    </font>
    <font>
      <sz val="12"/>
      <color rgb="FF565E6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1" fontId="1" fillId="2" borderId="0" xfId="0" applyNumberFormat="1" applyFont="1" applyFill="1"/>
    <xf numFmtId="0" fontId="2" fillId="2" borderId="0" xfId="0" applyFont="1" applyFill="1"/>
    <xf numFmtId="0" fontId="1" fillId="3" borderId="0" xfId="0" applyFont="1" applyFill="1"/>
    <xf numFmtId="2" fontId="1" fillId="3" borderId="0" xfId="0" applyNumberFormat="1" applyFont="1" applyFill="1"/>
    <xf numFmtId="0" fontId="4" fillId="2" borderId="0" xfId="0" applyFont="1" applyFill="1"/>
    <xf numFmtId="0" fontId="0" fillId="2" borderId="0" xfId="0" applyFill="1"/>
    <xf numFmtId="2" fontId="0" fillId="2" borderId="0" xfId="0" applyNumberFormat="1" applyFill="1"/>
    <xf numFmtId="0" fontId="6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164" fontId="0" fillId="2" borderId="0" xfId="0" applyNumberFormat="1" applyFill="1"/>
    <xf numFmtId="1" fontId="0" fillId="2" borderId="0" xfId="0" applyNumberFormat="1" applyFill="1"/>
    <xf numFmtId="1" fontId="0" fillId="2" borderId="1" xfId="0" applyNumberFormat="1" applyFill="1" applyBorder="1"/>
    <xf numFmtId="0" fontId="0" fillId="4" borderId="1" xfId="0" applyFill="1" applyBorder="1"/>
    <xf numFmtId="1" fontId="0" fillId="3" borderId="1" xfId="0" applyNumberFormat="1" applyFill="1" applyBorder="1"/>
    <xf numFmtId="165" fontId="0" fillId="2" borderId="0" xfId="0" applyNumberFormat="1" applyFill="1"/>
    <xf numFmtId="0" fontId="0" fillId="2" borderId="0" xfId="0" applyFill="1" applyAlignment="1">
      <alignment horizontal="right"/>
    </xf>
    <xf numFmtId="9" fontId="0" fillId="2" borderId="0" xfId="0" applyNumberFormat="1" applyFill="1"/>
    <xf numFmtId="1" fontId="0" fillId="2" borderId="1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6" fontId="0" fillId="2" borderId="0" xfId="0" applyNumberFormat="1" applyFill="1"/>
    <xf numFmtId="165" fontId="0" fillId="2" borderId="1" xfId="0" applyNumberFormat="1" applyFill="1" applyBorder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186591</xdr:colOff>
      <xdr:row>26</xdr:row>
      <xdr:rowOff>86360</xdr:rowOff>
    </xdr:from>
    <xdr:to>
      <xdr:col>19</xdr:col>
      <xdr:colOff>397557</xdr:colOff>
      <xdr:row>41</xdr:row>
      <xdr:rowOff>20320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1871" y="5013960"/>
          <a:ext cx="4000646" cy="2677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118610</xdr:colOff>
      <xdr:row>0</xdr:row>
      <xdr:rowOff>0</xdr:rowOff>
    </xdr:from>
    <xdr:to>
      <xdr:col>27</xdr:col>
      <xdr:colOff>355600</xdr:colOff>
      <xdr:row>26</xdr:row>
      <xdr:rowOff>168548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3890" y="0"/>
          <a:ext cx="8903470" cy="509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238759</xdr:colOff>
      <xdr:row>57</xdr:row>
      <xdr:rowOff>121920</xdr:rowOff>
    </xdr:from>
    <xdr:to>
      <xdr:col>19</xdr:col>
      <xdr:colOff>252878</xdr:colOff>
      <xdr:row>71</xdr:row>
      <xdr:rowOff>66039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64039" y="10718800"/>
          <a:ext cx="3803799" cy="25044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200661</xdr:colOff>
      <xdr:row>41</xdr:row>
      <xdr:rowOff>71120</xdr:rowOff>
    </xdr:from>
    <xdr:to>
      <xdr:col>19</xdr:col>
      <xdr:colOff>497840</xdr:colOff>
      <xdr:row>57</xdr:row>
      <xdr:rowOff>12840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5941" y="7741920"/>
          <a:ext cx="4086859" cy="286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223552</xdr:colOff>
      <xdr:row>55</xdr:row>
      <xdr:rowOff>142240</xdr:rowOff>
    </xdr:from>
    <xdr:to>
      <xdr:col>27</xdr:col>
      <xdr:colOff>366013</xdr:colOff>
      <xdr:row>71</xdr:row>
      <xdr:rowOff>102158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48112" y="10373360"/>
          <a:ext cx="4409661" cy="2885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494173</xdr:colOff>
      <xdr:row>27</xdr:row>
      <xdr:rowOff>20320</xdr:rowOff>
    </xdr:from>
    <xdr:to>
      <xdr:col>27</xdr:col>
      <xdr:colOff>511426</xdr:colOff>
      <xdr:row>51</xdr:row>
      <xdr:rowOff>142240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509133" y="5130800"/>
          <a:ext cx="4894053" cy="451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83820</xdr:colOff>
      <xdr:row>15</xdr:row>
      <xdr:rowOff>10878</xdr:rowOff>
    </xdr:from>
    <xdr:to>
      <xdr:col>19</xdr:col>
      <xdr:colOff>578600</xdr:colOff>
      <xdr:row>28</xdr:row>
      <xdr:rowOff>91440</xdr:rowOff>
    </xdr:to>
    <xdr:pic>
      <xdr:nvPicPr>
        <xdr:cNvPr id="2049" name="Picture 1" descr="https://www.casaenergetica.it/editorcms/image/dati%20edificio(1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78340" y="2982678"/>
          <a:ext cx="5912600" cy="265612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53341</xdr:colOff>
      <xdr:row>0</xdr:row>
      <xdr:rowOff>112470</xdr:rowOff>
    </xdr:from>
    <xdr:to>
      <xdr:col>20</xdr:col>
      <xdr:colOff>76201</xdr:colOff>
      <xdr:row>14</xdr:row>
      <xdr:rowOff>53339</xdr:rowOff>
    </xdr:to>
    <xdr:pic>
      <xdr:nvPicPr>
        <xdr:cNvPr id="2050" name="Picture 2" descr="https://www.casaenergetica.it/editorcms/image/classe%20energetica%20eph(1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47861" y="112470"/>
          <a:ext cx="6042660" cy="27145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21589</xdr:colOff>
      <xdr:row>11</xdr:row>
      <xdr:rowOff>88926</xdr:rowOff>
    </xdr:from>
    <xdr:to>
      <xdr:col>10</xdr:col>
      <xdr:colOff>426844</xdr:colOff>
      <xdr:row>20</xdr:row>
      <xdr:rowOff>129540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9669" y="2298726"/>
          <a:ext cx="4619115" cy="1823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196849</xdr:colOff>
      <xdr:row>1</xdr:row>
      <xdr:rowOff>6532</xdr:rowOff>
    </xdr:from>
    <xdr:to>
      <xdr:col>16</xdr:col>
      <xdr:colOff>426720</xdr:colOff>
      <xdr:row>19</xdr:row>
      <xdr:rowOff>60959</xdr:rowOff>
    </xdr:to>
    <xdr:grpSp>
      <xdr:nvGrpSpPr>
        <xdr:cNvPr id="6" name="Gruppo 5"/>
        <xdr:cNvGrpSpPr/>
      </xdr:nvGrpSpPr>
      <xdr:grpSpPr>
        <a:xfrm>
          <a:off x="6109969" y="189412"/>
          <a:ext cx="5106671" cy="3346267"/>
          <a:chOff x="3877309" y="3496492"/>
          <a:chExt cx="6195641" cy="4070167"/>
        </a:xfrm>
      </xdr:grpSpPr>
      <xdr:pic>
        <xdr:nvPicPr>
          <xdr:cNvPr id="204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877309" y="3496492"/>
            <a:ext cx="6195641" cy="407016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3" name="Ovale 2"/>
          <xdr:cNvSpPr/>
        </xdr:nvSpPr>
        <xdr:spPr>
          <a:xfrm>
            <a:off x="7339148" y="5472249"/>
            <a:ext cx="48986" cy="4354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4" name="Ovale 3"/>
          <xdr:cNvSpPr/>
        </xdr:nvSpPr>
        <xdr:spPr>
          <a:xfrm>
            <a:off x="7350035" y="6015447"/>
            <a:ext cx="45719" cy="4354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5" name="Rettangolo 4"/>
          <xdr:cNvSpPr/>
        </xdr:nvSpPr>
        <xdr:spPr>
          <a:xfrm>
            <a:off x="7371805" y="5477691"/>
            <a:ext cx="2367643" cy="559525"/>
          </a:xfrm>
          <a:prstGeom prst="rect">
            <a:avLst/>
          </a:prstGeom>
          <a:noFill/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0"/>
  <sheetViews>
    <sheetView tabSelected="1" topLeftCell="A34" zoomScaleNormal="100" workbookViewId="0">
      <selection activeCell="L9" sqref="L9"/>
    </sheetView>
  </sheetViews>
  <sheetFormatPr defaultRowHeight="14.4"/>
  <cols>
    <col min="1" max="1" width="13.5546875" style="8" customWidth="1"/>
    <col min="2" max="2" width="11.5546875" style="8" customWidth="1"/>
    <col min="3" max="3" width="8.6640625" style="8" customWidth="1"/>
    <col min="4" max="4" width="8.77734375" style="8" customWidth="1"/>
    <col min="5" max="5" width="12" style="8" customWidth="1"/>
    <col min="6" max="6" width="8.88671875" style="8"/>
    <col min="7" max="7" width="15" style="8" customWidth="1"/>
    <col min="8" max="8" width="8.88671875" style="8" customWidth="1"/>
    <col min="9" max="9" width="8.77734375" style="8" customWidth="1"/>
    <col min="10" max="10" width="8.5546875" style="8" customWidth="1"/>
    <col min="11" max="11" width="9.33203125" style="8" customWidth="1"/>
    <col min="12" max="12" width="8.88671875" style="8"/>
    <col min="13" max="13" width="11.5546875" style="8" customWidth="1"/>
    <col min="14" max="15" width="8.88671875" style="8"/>
    <col min="16" max="16" width="9.21875" style="8" customWidth="1"/>
    <col min="17" max="18" width="8.88671875" style="8"/>
    <col min="19" max="19" width="10.5546875" style="8" customWidth="1"/>
    <col min="20" max="16384" width="8.88671875" style="8"/>
  </cols>
  <sheetData>
    <row r="1" spans="1:11">
      <c r="A1" s="7" t="s">
        <v>112</v>
      </c>
    </row>
    <row r="3" spans="1:11" ht="28.2" customHeight="1">
      <c r="A3" s="14" t="s">
        <v>62</v>
      </c>
      <c r="B3" s="14" t="s">
        <v>65</v>
      </c>
      <c r="C3" s="14" t="s">
        <v>64</v>
      </c>
      <c r="D3" s="14" t="s">
        <v>66</v>
      </c>
      <c r="E3" s="15" t="s">
        <v>67</v>
      </c>
      <c r="G3" s="14" t="s">
        <v>62</v>
      </c>
      <c r="H3" s="14" t="s">
        <v>65</v>
      </c>
      <c r="I3" s="14" t="s">
        <v>64</v>
      </c>
      <c r="J3" s="14" t="s">
        <v>66</v>
      </c>
      <c r="K3" s="15" t="s">
        <v>67</v>
      </c>
    </row>
    <row r="4" spans="1:11">
      <c r="A4" s="13">
        <v>1</v>
      </c>
      <c r="B4" s="13">
        <v>0</v>
      </c>
      <c r="C4" s="13">
        <v>7</v>
      </c>
      <c r="D4" s="13">
        <v>520</v>
      </c>
      <c r="E4" s="13">
        <v>0.55000000000000004</v>
      </c>
      <c r="G4" s="13">
        <v>1</v>
      </c>
      <c r="H4" s="13">
        <v>-5</v>
      </c>
      <c r="I4" s="13">
        <v>5.9</v>
      </c>
      <c r="J4" s="13">
        <v>518</v>
      </c>
      <c r="K4" s="13">
        <v>0.65</v>
      </c>
    </row>
    <row r="5" spans="1:11">
      <c r="A5" s="13" t="s">
        <v>63</v>
      </c>
      <c r="B5" s="13">
        <v>63</v>
      </c>
      <c r="C5" s="13">
        <v>19.5</v>
      </c>
      <c r="D5" s="13">
        <v>562</v>
      </c>
      <c r="E5" s="13"/>
      <c r="G5" s="13" t="s">
        <v>63</v>
      </c>
      <c r="H5" s="13">
        <v>63</v>
      </c>
      <c r="I5" s="13">
        <v>22</v>
      </c>
      <c r="J5" s="13">
        <v>575</v>
      </c>
      <c r="K5" s="13"/>
    </row>
    <row r="6" spans="1:11">
      <c r="A6" s="13">
        <v>2</v>
      </c>
      <c r="B6" s="13">
        <v>68</v>
      </c>
      <c r="C6" s="13">
        <v>19.5</v>
      </c>
      <c r="D6" s="24">
        <f>B12</f>
        <v>572.5</v>
      </c>
      <c r="E6" s="13"/>
      <c r="G6" s="13">
        <v>2</v>
      </c>
      <c r="H6" s="13">
        <v>68</v>
      </c>
      <c r="I6" s="13">
        <v>22</v>
      </c>
      <c r="J6" s="24">
        <f>H12</f>
        <v>597.16666666666663</v>
      </c>
      <c r="K6" s="13"/>
    </row>
    <row r="7" spans="1:11">
      <c r="A7" s="13">
        <v>3</v>
      </c>
      <c r="B7" s="13">
        <v>25</v>
      </c>
      <c r="C7" s="13">
        <v>19.5</v>
      </c>
      <c r="D7" s="13">
        <v>245</v>
      </c>
      <c r="E7" s="13"/>
      <c r="G7" s="13">
        <v>3</v>
      </c>
      <c r="H7" s="13">
        <v>30</v>
      </c>
      <c r="I7" s="13">
        <v>22</v>
      </c>
      <c r="J7" s="13">
        <v>255</v>
      </c>
      <c r="K7" s="13"/>
    </row>
    <row r="8" spans="1:11">
      <c r="A8" s="13">
        <v>4</v>
      </c>
      <c r="B8" s="13">
        <v>-5</v>
      </c>
      <c r="C8" s="13">
        <v>7</v>
      </c>
      <c r="D8" s="13">
        <v>245</v>
      </c>
      <c r="E8" s="13"/>
      <c r="G8" s="13">
        <v>4</v>
      </c>
      <c r="H8" s="13">
        <v>-10</v>
      </c>
      <c r="I8" s="13">
        <v>7.9</v>
      </c>
      <c r="J8" s="13">
        <v>255</v>
      </c>
      <c r="K8" s="13"/>
    </row>
    <row r="9" spans="1:11">
      <c r="A9" s="25"/>
      <c r="B9" s="25"/>
      <c r="C9" s="25"/>
      <c r="D9" s="25"/>
      <c r="E9" s="25"/>
      <c r="G9" s="25"/>
      <c r="H9" s="25"/>
      <c r="I9" s="25"/>
      <c r="J9" s="25"/>
      <c r="K9" s="25"/>
    </row>
    <row r="10" spans="1:11">
      <c r="A10" s="8" t="s">
        <v>96</v>
      </c>
      <c r="B10" s="9">
        <f>C5/C4</f>
        <v>2.7857142857142856</v>
      </c>
      <c r="G10" s="8" t="s">
        <v>96</v>
      </c>
      <c r="H10" s="9">
        <f>I5/I4</f>
        <v>3.7288135593220337</v>
      </c>
    </row>
    <row r="11" spans="1:11">
      <c r="A11" s="8" t="s">
        <v>73</v>
      </c>
      <c r="B11" s="23">
        <v>0.8</v>
      </c>
      <c r="C11" s="8" t="s">
        <v>93</v>
      </c>
      <c r="G11" s="8" t="s">
        <v>73</v>
      </c>
      <c r="H11" s="23">
        <v>0.72</v>
      </c>
      <c r="I11" s="8" t="s">
        <v>93</v>
      </c>
    </row>
    <row r="12" spans="1:11">
      <c r="A12" s="8" t="s">
        <v>91</v>
      </c>
      <c r="B12" s="17">
        <f>(D5-D4)/B11+D4</f>
        <v>572.5</v>
      </c>
      <c r="C12" s="8" t="s">
        <v>69</v>
      </c>
      <c r="G12" s="8" t="s">
        <v>91</v>
      </c>
      <c r="H12" s="17">
        <f>(J5-J4)/H11+J4</f>
        <v>597.16666666666663</v>
      </c>
      <c r="I12" s="8" t="s">
        <v>69</v>
      </c>
    </row>
    <row r="14" spans="1:11">
      <c r="A14" s="8" t="s">
        <v>68</v>
      </c>
      <c r="B14" s="16">
        <f>D6-D4</f>
        <v>52.5</v>
      </c>
      <c r="C14" s="8" t="s">
        <v>69</v>
      </c>
      <c r="G14" s="8" t="s">
        <v>68</v>
      </c>
      <c r="H14" s="16">
        <f>J6-J4</f>
        <v>79.166666666666629</v>
      </c>
      <c r="I14" s="8" t="s">
        <v>69</v>
      </c>
    </row>
    <row r="15" spans="1:11">
      <c r="A15" s="8" t="s">
        <v>95</v>
      </c>
      <c r="B15" s="16">
        <f>0.92*0.94</f>
        <v>0.86480000000000001</v>
      </c>
      <c r="G15" s="8" t="s">
        <v>95</v>
      </c>
      <c r="H15" s="16">
        <f>0.92*0.94</f>
        <v>0.86480000000000001</v>
      </c>
    </row>
    <row r="16" spans="1:11">
      <c r="A16" s="8" t="s">
        <v>92</v>
      </c>
      <c r="B16" s="16">
        <f>B14/B15</f>
        <v>60.707678075855689</v>
      </c>
      <c r="C16" s="8" t="s">
        <v>69</v>
      </c>
      <c r="G16" s="8" t="s">
        <v>92</v>
      </c>
      <c r="H16" s="16">
        <f>H14/H15</f>
        <v>91.543324082639487</v>
      </c>
      <c r="I16" s="8" t="s">
        <v>69</v>
      </c>
    </row>
    <row r="17" spans="1:11">
      <c r="A17" s="8" t="s">
        <v>70</v>
      </c>
      <c r="B17" s="16">
        <f>D4-D7</f>
        <v>275</v>
      </c>
      <c r="C17" s="8" t="s">
        <v>69</v>
      </c>
      <c r="G17" s="8" t="s">
        <v>70</v>
      </c>
      <c r="H17" s="16">
        <f>J4-J7</f>
        <v>263</v>
      </c>
      <c r="I17" s="8" t="s">
        <v>69</v>
      </c>
    </row>
    <row r="18" spans="1:11">
      <c r="A18" s="8" t="s">
        <v>71</v>
      </c>
      <c r="B18" s="16">
        <f>D6-D7</f>
        <v>327.5</v>
      </c>
      <c r="C18" s="8" t="s">
        <v>69</v>
      </c>
      <c r="G18" s="8" t="s">
        <v>71</v>
      </c>
      <c r="H18" s="16">
        <f>J6-J7</f>
        <v>342.16666666666663</v>
      </c>
      <c r="I18" s="8" t="s">
        <v>69</v>
      </c>
    </row>
    <row r="19" spans="1:11">
      <c r="B19" s="16"/>
      <c r="H19" s="16"/>
    </row>
    <row r="20" spans="1:11">
      <c r="A20" s="8" t="s">
        <v>72</v>
      </c>
      <c r="B20" s="16">
        <f>B18/B16</f>
        <v>5.3947047619047623</v>
      </c>
      <c r="G20" s="8" t="s">
        <v>72</v>
      </c>
      <c r="H20" s="16">
        <f>H18/H16</f>
        <v>3.7377566315789488</v>
      </c>
    </row>
    <row r="21" spans="1:11">
      <c r="A21" s="8" t="s">
        <v>97</v>
      </c>
      <c r="B21" s="26">
        <v>0.9</v>
      </c>
      <c r="G21" s="8" t="s">
        <v>97</v>
      </c>
      <c r="H21" s="26">
        <v>0.9</v>
      </c>
    </row>
    <row r="22" spans="1:11">
      <c r="A22" s="8" t="s">
        <v>94</v>
      </c>
      <c r="B22" s="16">
        <f>B20*B21</f>
        <v>4.8552342857142863</v>
      </c>
      <c r="G22" s="8" t="s">
        <v>94</v>
      </c>
      <c r="H22" s="16">
        <f>H20*H21</f>
        <v>3.3639809684210538</v>
      </c>
    </row>
    <row r="23" spans="1:11">
      <c r="B23" s="16"/>
    </row>
    <row r="25" spans="1:11">
      <c r="A25" s="8" t="s">
        <v>81</v>
      </c>
      <c r="C25" s="8">
        <v>135</v>
      </c>
      <c r="D25" s="8" t="s">
        <v>100</v>
      </c>
      <c r="G25" s="8" t="s">
        <v>81</v>
      </c>
      <c r="I25" s="8">
        <v>135</v>
      </c>
      <c r="J25" s="8" t="s">
        <v>100</v>
      </c>
    </row>
    <row r="26" spans="1:11">
      <c r="A26" s="8" t="s">
        <v>101</v>
      </c>
      <c r="C26" s="8">
        <v>10</v>
      </c>
      <c r="D26" s="8" t="s">
        <v>99</v>
      </c>
      <c r="G26" s="8" t="s">
        <v>101</v>
      </c>
      <c r="I26" s="8">
        <v>10</v>
      </c>
      <c r="J26" s="8" t="s">
        <v>99</v>
      </c>
    </row>
    <row r="27" spans="1:11">
      <c r="A27" s="8" t="s">
        <v>102</v>
      </c>
      <c r="C27" s="8">
        <v>8</v>
      </c>
      <c r="D27" s="8" t="s">
        <v>99</v>
      </c>
      <c r="G27" s="8" t="s">
        <v>102</v>
      </c>
      <c r="I27" s="8">
        <v>8</v>
      </c>
      <c r="J27" s="8" t="s">
        <v>99</v>
      </c>
    </row>
    <row r="29" spans="1:11">
      <c r="D29" s="8" t="s">
        <v>83</v>
      </c>
      <c r="E29" s="8" t="s">
        <v>84</v>
      </c>
      <c r="J29" s="8" t="s">
        <v>83</v>
      </c>
      <c r="K29" s="8" t="s">
        <v>84</v>
      </c>
    </row>
    <row r="30" spans="1:11">
      <c r="A30" s="19" t="s">
        <v>74</v>
      </c>
      <c r="B30" s="19" t="s">
        <v>82</v>
      </c>
      <c r="C30" s="19" t="s">
        <v>75</v>
      </c>
      <c r="D30" s="12" t="s">
        <v>80</v>
      </c>
      <c r="E30" s="12" t="s">
        <v>80</v>
      </c>
      <c r="G30" s="19" t="s">
        <v>74</v>
      </c>
      <c r="H30" s="19" t="s">
        <v>82</v>
      </c>
      <c r="I30" s="19" t="s">
        <v>75</v>
      </c>
      <c r="J30" s="12" t="s">
        <v>80</v>
      </c>
      <c r="K30" s="12" t="s">
        <v>80</v>
      </c>
    </row>
    <row r="31" spans="1:11">
      <c r="A31" s="12" t="s">
        <v>76</v>
      </c>
      <c r="B31" s="12">
        <v>1140</v>
      </c>
      <c r="C31" s="18">
        <f>B31/$B$22/$B$15</f>
        <v>271.50571717386782</v>
      </c>
      <c r="D31" s="18">
        <f>(C31/1000)*$C$26*$C$25</f>
        <v>366.53271818472155</v>
      </c>
      <c r="E31" s="18">
        <f>0.95*(B31/1000)*$C$26*$C$25</f>
        <v>1462.05</v>
      </c>
      <c r="G31" s="12" t="s">
        <v>76</v>
      </c>
      <c r="H31" s="12">
        <v>1140</v>
      </c>
      <c r="I31" s="18">
        <f>H31/$H$22/$H$15</f>
        <v>391.86424630955685</v>
      </c>
      <c r="J31" s="18">
        <f>(I31/1000)*$C$26*$C$25</f>
        <v>529.01673251790169</v>
      </c>
      <c r="K31" s="18">
        <f>0.95*(H31/1000)*$C$26*$C$25</f>
        <v>1462.05</v>
      </c>
    </row>
    <row r="32" spans="1:11">
      <c r="A32" s="12" t="s">
        <v>77</v>
      </c>
      <c r="B32" s="12">
        <v>820</v>
      </c>
      <c r="C32" s="18">
        <f t="shared" ref="C32:C34" si="0">B32/$B$22/$B$15</f>
        <v>195.29358603734354</v>
      </c>
      <c r="D32" s="18">
        <f>(C32/1000)*$C$26*$C$25</f>
        <v>263.64634115041378</v>
      </c>
      <c r="E32" s="18">
        <f>0.95*(B32/1000)*$C$26*$C$25</f>
        <v>1051.6499999999999</v>
      </c>
      <c r="G32" s="12" t="s">
        <v>77</v>
      </c>
      <c r="H32" s="12">
        <v>820</v>
      </c>
      <c r="I32" s="18">
        <f t="shared" ref="I32:I34" si="1">H32/$H$22/$H$15</f>
        <v>281.86726488933033</v>
      </c>
      <c r="J32" s="18">
        <f>(I32/1000)*$C$26*$C$25</f>
        <v>380.52080760059596</v>
      </c>
      <c r="K32" s="18">
        <f>0.95*(H32/1000)*$C$26*$C$25</f>
        <v>1051.6499999999999</v>
      </c>
    </row>
    <row r="33" spans="1:11">
      <c r="A33" s="12" t="s">
        <v>78</v>
      </c>
      <c r="B33" s="12">
        <v>462</v>
      </c>
      <c r="C33" s="18">
        <f t="shared" si="0"/>
        <v>110.03126432835697</v>
      </c>
      <c r="D33" s="18">
        <f>(C33/1000)*$C$26*$C$25</f>
        <v>148.54220684328192</v>
      </c>
      <c r="E33" s="18">
        <f>0.95*(B33/1000)*$C$26*$C$25</f>
        <v>592.51499999999999</v>
      </c>
      <c r="G33" s="12" t="s">
        <v>78</v>
      </c>
      <c r="H33" s="12">
        <v>462</v>
      </c>
      <c r="I33" s="18">
        <f t="shared" si="1"/>
        <v>158.80814192545199</v>
      </c>
      <c r="J33" s="18">
        <f>(I33/1000)*$C$26*$C$25</f>
        <v>214.39099159936018</v>
      </c>
      <c r="K33" s="18">
        <f>0.95*(H33/1000)*$C$26*$C$25</f>
        <v>592.51499999999999</v>
      </c>
    </row>
    <row r="34" spans="1:11">
      <c r="A34" s="12" t="s">
        <v>79</v>
      </c>
      <c r="B34" s="12">
        <v>1005</v>
      </c>
      <c r="C34" s="18">
        <f t="shared" si="0"/>
        <v>239.35372435064664</v>
      </c>
      <c r="D34" s="18">
        <f>(C34/1000)*$C$27*$C$25</f>
        <v>258.50202229869836</v>
      </c>
      <c r="E34" s="18">
        <f>0.95*(B34/1000)*C27*$C$25</f>
        <v>1031.1299999999999</v>
      </c>
      <c r="G34" s="12" t="s">
        <v>79</v>
      </c>
      <c r="H34" s="12">
        <v>1005</v>
      </c>
      <c r="I34" s="18">
        <f t="shared" si="1"/>
        <v>345.45926977289872</v>
      </c>
      <c r="J34" s="18">
        <f>(I34/1000)*$C$27*$C$25</f>
        <v>373.09601135473059</v>
      </c>
      <c r="K34" s="18">
        <f>0.95*(H34/1000)*I27*$C$25</f>
        <v>1031.1299999999999</v>
      </c>
    </row>
    <row r="35" spans="1:11">
      <c r="A35" s="12"/>
      <c r="B35" s="12"/>
      <c r="C35" s="18"/>
      <c r="D35" s="20">
        <f>SUM(D31:D34)</f>
        <v>1037.2232884771156</v>
      </c>
      <c r="E35" s="20">
        <f>SUM(E31:E34)</f>
        <v>4137.3449999999993</v>
      </c>
      <c r="G35" s="12"/>
      <c r="H35" s="12"/>
      <c r="I35" s="18"/>
      <c r="J35" s="20">
        <f>SUM(J31:J34)</f>
        <v>1497.0245430725884</v>
      </c>
      <c r="K35" s="20">
        <f>SUM(K31:K34)</f>
        <v>4137.3449999999993</v>
      </c>
    </row>
    <row r="36" spans="1:11">
      <c r="C36" s="21"/>
      <c r="D36" s="17">
        <f>D35*0.23</f>
        <v>238.5613563497366</v>
      </c>
      <c r="E36" s="17">
        <f>E35*0.1</f>
        <v>413.73449999999997</v>
      </c>
      <c r="I36" s="21"/>
      <c r="J36" s="17">
        <f>J35*0.23</f>
        <v>344.31564490669535</v>
      </c>
      <c r="K36" s="17">
        <f>K35*0.1</f>
        <v>413.73449999999997</v>
      </c>
    </row>
    <row r="37" spans="1:11">
      <c r="D37" s="22" t="s">
        <v>35</v>
      </c>
      <c r="E37" s="22" t="s">
        <v>35</v>
      </c>
      <c r="J37" s="22" t="s">
        <v>35</v>
      </c>
      <c r="K37" s="22" t="s">
        <v>35</v>
      </c>
    </row>
    <row r="38" spans="1:11">
      <c r="A38" s="8" t="s">
        <v>103</v>
      </c>
      <c r="D38" s="22"/>
      <c r="E38" s="22"/>
      <c r="G38" s="8" t="s">
        <v>103</v>
      </c>
      <c r="J38" s="22"/>
      <c r="K38" s="22"/>
    </row>
    <row r="39" spans="1:11">
      <c r="A39" s="8" t="s">
        <v>104</v>
      </c>
      <c r="C39" s="17">
        <f>$E$36-$D$36</f>
        <v>175.17314365026337</v>
      </c>
      <c r="D39" s="8" t="s">
        <v>35</v>
      </c>
      <c r="E39" s="22"/>
      <c r="G39" s="8" t="s">
        <v>104</v>
      </c>
      <c r="I39" s="17">
        <f>$K$36-$J$36</f>
        <v>69.418855093304614</v>
      </c>
      <c r="J39" s="8" t="s">
        <v>35</v>
      </c>
      <c r="K39" s="22"/>
    </row>
    <row r="40" spans="1:11">
      <c r="A40" s="8" t="s">
        <v>85</v>
      </c>
      <c r="C40" s="8">
        <v>3143</v>
      </c>
      <c r="D40" s="8" t="s">
        <v>35</v>
      </c>
      <c r="E40" s="17"/>
      <c r="G40" s="8" t="s">
        <v>85</v>
      </c>
      <c r="I40" s="8">
        <v>3143</v>
      </c>
      <c r="J40" s="8" t="s">
        <v>35</v>
      </c>
      <c r="K40" s="17"/>
    </row>
    <row r="41" spans="1:11">
      <c r="A41" s="8" t="s">
        <v>86</v>
      </c>
      <c r="C41" s="8">
        <f>402*4</f>
        <v>1608</v>
      </c>
      <c r="D41" s="8" t="s">
        <v>35</v>
      </c>
      <c r="G41" s="8" t="s">
        <v>86</v>
      </c>
      <c r="I41" s="8">
        <f>402*4</f>
        <v>1608</v>
      </c>
      <c r="J41" s="8" t="s">
        <v>35</v>
      </c>
    </row>
    <row r="42" spans="1:11">
      <c r="A42" s="8" t="s">
        <v>87</v>
      </c>
      <c r="C42" s="8">
        <f>300*4</f>
        <v>1200</v>
      </c>
      <c r="D42" s="8" t="s">
        <v>35</v>
      </c>
      <c r="G42" s="8" t="s">
        <v>87</v>
      </c>
      <c r="I42" s="8">
        <f>300*4</f>
        <v>1200</v>
      </c>
      <c r="J42" s="8" t="s">
        <v>35</v>
      </c>
    </row>
    <row r="43" spans="1:11">
      <c r="A43" s="8" t="s">
        <v>88</v>
      </c>
      <c r="C43" s="8">
        <f>(C40+C41+C42)-(C40+C41+C42)*0.2</f>
        <v>4760.8</v>
      </c>
      <c r="D43" s="8" t="s">
        <v>35</v>
      </c>
      <c r="G43" s="8" t="s">
        <v>88</v>
      </c>
      <c r="I43" s="8">
        <f>(I40+I41+I42)-(I40+I41+I42)*0.2</f>
        <v>4760.8</v>
      </c>
      <c r="J43" s="8" t="s">
        <v>35</v>
      </c>
    </row>
    <row r="45" spans="1:11">
      <c r="A45" s="8" t="s">
        <v>89</v>
      </c>
      <c r="C45" s="8">
        <f>C43/2</f>
        <v>2380.4</v>
      </c>
      <c r="D45" s="8" t="s">
        <v>35</v>
      </c>
      <c r="G45" s="8" t="s">
        <v>89</v>
      </c>
      <c r="I45" s="8">
        <f>I43/2</f>
        <v>2380.4</v>
      </c>
      <c r="J45" s="8" t="s">
        <v>35</v>
      </c>
    </row>
    <row r="46" spans="1:11">
      <c r="A46" s="8" t="s">
        <v>90</v>
      </c>
      <c r="C46" s="9">
        <f>C45/(E36-D36)</f>
        <v>13.588841019788488</v>
      </c>
      <c r="G46" s="8" t="s">
        <v>90</v>
      </c>
      <c r="I46" s="9">
        <f>I45/(K36-J36)</f>
        <v>34.290395553204498</v>
      </c>
    </row>
    <row r="48" spans="1:11">
      <c r="A48" s="8" t="s">
        <v>105</v>
      </c>
    </row>
    <row r="49" spans="1:11">
      <c r="A49" s="8" t="s">
        <v>106</v>
      </c>
      <c r="C49" s="8">
        <v>1000</v>
      </c>
      <c r="D49" s="8" t="s">
        <v>35</v>
      </c>
      <c r="G49" s="8" t="s">
        <v>106</v>
      </c>
      <c r="I49" s="8">
        <v>1000</v>
      </c>
      <c r="J49" s="8" t="s">
        <v>35</v>
      </c>
    </row>
    <row r="50" spans="1:11">
      <c r="A50" s="8" t="s">
        <v>104</v>
      </c>
      <c r="C50" s="17">
        <f>E36</f>
        <v>413.73449999999997</v>
      </c>
      <c r="D50" s="8" t="s">
        <v>35</v>
      </c>
      <c r="E50" s="22"/>
      <c r="G50" s="8" t="s">
        <v>104</v>
      </c>
      <c r="I50" s="17">
        <f>K36</f>
        <v>413.73449999999997</v>
      </c>
      <c r="J50" s="8" t="s">
        <v>35</v>
      </c>
      <c r="K50" s="22"/>
    </row>
    <row r="51" spans="1:11">
      <c r="A51" s="8" t="s">
        <v>85</v>
      </c>
      <c r="C51" s="8">
        <v>3143</v>
      </c>
      <c r="D51" s="8" t="s">
        <v>35</v>
      </c>
      <c r="E51" s="17"/>
      <c r="G51" s="8" t="s">
        <v>85</v>
      </c>
      <c r="I51" s="8">
        <v>3143</v>
      </c>
      <c r="J51" s="8" t="s">
        <v>35</v>
      </c>
      <c r="K51" s="17"/>
    </row>
    <row r="52" spans="1:11">
      <c r="A52" s="8" t="s">
        <v>86</v>
      </c>
      <c r="C52" s="8">
        <f>402*4</f>
        <v>1608</v>
      </c>
      <c r="D52" s="8" t="s">
        <v>35</v>
      </c>
      <c r="G52" s="8" t="s">
        <v>86</v>
      </c>
      <c r="I52" s="8">
        <f>402*4</f>
        <v>1608</v>
      </c>
      <c r="J52" s="8" t="s">
        <v>35</v>
      </c>
    </row>
    <row r="53" spans="1:11">
      <c r="A53" s="8" t="s">
        <v>87</v>
      </c>
      <c r="C53" s="8">
        <f>300*4</f>
        <v>1200</v>
      </c>
      <c r="D53" s="8" t="s">
        <v>35</v>
      </c>
      <c r="G53" s="8" t="s">
        <v>87</v>
      </c>
      <c r="I53" s="8">
        <f>300*4</f>
        <v>1200</v>
      </c>
      <c r="J53" s="8" t="s">
        <v>35</v>
      </c>
    </row>
    <row r="54" spans="1:11">
      <c r="A54" s="8" t="s">
        <v>88</v>
      </c>
      <c r="C54" s="8">
        <f>C49+(C51+C52+C53)-(C51+C52+C53)*0.2</f>
        <v>5760.8</v>
      </c>
      <c r="D54" s="8" t="s">
        <v>35</v>
      </c>
      <c r="G54" s="8" t="s">
        <v>88</v>
      </c>
      <c r="I54" s="8">
        <f>I49+(I51+I52+I53)-(I51+I52+I53)*0.2</f>
        <v>5760.8</v>
      </c>
      <c r="J54" s="8" t="s">
        <v>35</v>
      </c>
    </row>
    <row r="56" spans="1:11">
      <c r="A56" s="8" t="s">
        <v>89</v>
      </c>
      <c r="C56" s="8">
        <f>C54/2</f>
        <v>2880.4</v>
      </c>
      <c r="D56" s="8" t="s">
        <v>35</v>
      </c>
      <c r="G56" s="8" t="s">
        <v>89</v>
      </c>
      <c r="I56" s="8">
        <f>I54/2</f>
        <v>2880.4</v>
      </c>
      <c r="J56" s="8" t="s">
        <v>35</v>
      </c>
    </row>
    <row r="57" spans="1:11">
      <c r="A57" s="8" t="s">
        <v>90</v>
      </c>
      <c r="C57" s="9">
        <f>C56/C50</f>
        <v>6.9619526532111786</v>
      </c>
      <c r="G57" s="8" t="s">
        <v>90</v>
      </c>
      <c r="I57" s="9">
        <f>I56/I50</f>
        <v>6.9619526532111786</v>
      </c>
    </row>
    <row r="74" spans="1:11">
      <c r="A74" s="7" t="s">
        <v>113</v>
      </c>
    </row>
    <row r="75" spans="1:11">
      <c r="A75" s="7"/>
    </row>
    <row r="76" spans="1:11" ht="31.2" customHeight="1">
      <c r="A76" s="14" t="s">
        <v>62</v>
      </c>
      <c r="B76" s="14" t="s">
        <v>65</v>
      </c>
      <c r="C76" s="14" t="s">
        <v>64</v>
      </c>
      <c r="D76" s="14" t="s">
        <v>66</v>
      </c>
      <c r="E76" s="15" t="s">
        <v>67</v>
      </c>
      <c r="G76" s="14" t="s">
        <v>62</v>
      </c>
      <c r="H76" s="14" t="s">
        <v>65</v>
      </c>
      <c r="I76" s="14" t="s">
        <v>64</v>
      </c>
      <c r="J76" s="14" t="s">
        <v>66</v>
      </c>
      <c r="K76" s="15" t="s">
        <v>67</v>
      </c>
    </row>
    <row r="77" spans="1:11">
      <c r="A77" s="13">
        <v>1</v>
      </c>
      <c r="B77" s="13">
        <v>0</v>
      </c>
      <c r="C77" s="13">
        <v>7</v>
      </c>
      <c r="D77" s="13">
        <v>520</v>
      </c>
      <c r="E77" s="13">
        <v>0.55000000000000004</v>
      </c>
      <c r="G77" s="13">
        <v>1</v>
      </c>
      <c r="H77" s="13">
        <v>-5</v>
      </c>
      <c r="I77" s="13">
        <v>5.9</v>
      </c>
      <c r="J77" s="13">
        <v>518</v>
      </c>
      <c r="K77" s="13">
        <v>0.65</v>
      </c>
    </row>
    <row r="78" spans="1:11">
      <c r="A78" s="13" t="s">
        <v>63</v>
      </c>
      <c r="B78" s="13">
        <v>63</v>
      </c>
      <c r="C78" s="13">
        <v>19.5</v>
      </c>
      <c r="D78" s="13">
        <v>562</v>
      </c>
      <c r="E78" s="13"/>
      <c r="G78" s="13" t="s">
        <v>63</v>
      </c>
      <c r="H78" s="13">
        <v>63</v>
      </c>
      <c r="I78" s="13">
        <v>22</v>
      </c>
      <c r="J78" s="13">
        <v>575</v>
      </c>
      <c r="K78" s="13"/>
    </row>
    <row r="79" spans="1:11">
      <c r="A79" s="13">
        <v>2</v>
      </c>
      <c r="B79" s="13">
        <v>68</v>
      </c>
      <c r="C79" s="13">
        <v>19.5</v>
      </c>
      <c r="D79" s="24">
        <f>B85</f>
        <v>564.21052631578948</v>
      </c>
      <c r="E79" s="13"/>
      <c r="G79" s="13">
        <v>2</v>
      </c>
      <c r="H79" s="13">
        <v>68</v>
      </c>
      <c r="I79" s="13">
        <v>22</v>
      </c>
      <c r="J79" s="24">
        <f>H85</f>
        <v>581.33333333333337</v>
      </c>
      <c r="K79" s="13"/>
    </row>
    <row r="80" spans="1:11">
      <c r="A80" s="13">
        <v>3</v>
      </c>
      <c r="B80" s="13">
        <v>25</v>
      </c>
      <c r="C80" s="13">
        <v>19.5</v>
      </c>
      <c r="D80" s="13">
        <v>245</v>
      </c>
      <c r="E80" s="13"/>
      <c r="G80" s="13">
        <v>3</v>
      </c>
      <c r="H80" s="13">
        <v>30</v>
      </c>
      <c r="I80" s="13">
        <v>22</v>
      </c>
      <c r="J80" s="13">
        <v>255</v>
      </c>
      <c r="K80" s="13"/>
    </row>
    <row r="81" spans="1:11">
      <c r="A81" s="13">
        <v>4</v>
      </c>
      <c r="B81" s="13">
        <v>-5</v>
      </c>
      <c r="C81" s="13">
        <v>7</v>
      </c>
      <c r="D81" s="13">
        <v>245</v>
      </c>
      <c r="E81" s="13"/>
      <c r="G81" s="13">
        <v>4</v>
      </c>
      <c r="H81" s="13">
        <v>-10</v>
      </c>
      <c r="I81" s="13">
        <v>7.9</v>
      </c>
      <c r="J81" s="13">
        <v>255</v>
      </c>
      <c r="K81" s="13"/>
    </row>
    <row r="82" spans="1:11">
      <c r="A82" s="25"/>
      <c r="B82" s="25"/>
      <c r="C82" s="25"/>
      <c r="D82" s="25"/>
      <c r="E82" s="25"/>
      <c r="G82" s="25"/>
      <c r="H82" s="25"/>
      <c r="I82" s="25"/>
      <c r="J82" s="25"/>
      <c r="K82" s="25"/>
    </row>
    <row r="83" spans="1:11">
      <c r="A83" s="8" t="s">
        <v>96</v>
      </c>
      <c r="B83" s="9">
        <f>C78/C77</f>
        <v>2.7857142857142856</v>
      </c>
      <c r="G83" s="8" t="s">
        <v>96</v>
      </c>
      <c r="H83" s="9">
        <f>I78/I77</f>
        <v>3.7288135593220337</v>
      </c>
    </row>
    <row r="84" spans="1:11">
      <c r="A84" s="8" t="s">
        <v>73</v>
      </c>
      <c r="B84" s="23">
        <v>0.95</v>
      </c>
      <c r="C84" s="8" t="s">
        <v>98</v>
      </c>
      <c r="G84" s="8" t="s">
        <v>73</v>
      </c>
      <c r="H84" s="23">
        <v>0.9</v>
      </c>
      <c r="I84" s="8" t="s">
        <v>98</v>
      </c>
    </row>
    <row r="85" spans="1:11">
      <c r="A85" s="8" t="s">
        <v>91</v>
      </c>
      <c r="B85" s="17">
        <f>(D78-D77)/B84+D77</f>
        <v>564.21052631578948</v>
      </c>
      <c r="C85" s="8" t="s">
        <v>69</v>
      </c>
      <c r="G85" s="8" t="s">
        <v>91</v>
      </c>
      <c r="H85" s="17">
        <f>(J78-J77)/H84+J77</f>
        <v>581.33333333333337</v>
      </c>
      <c r="I85" s="8" t="s">
        <v>69</v>
      </c>
    </row>
    <row r="87" spans="1:11">
      <c r="A87" s="8" t="s">
        <v>68</v>
      </c>
      <c r="B87" s="16">
        <f>D79-D77</f>
        <v>44.21052631578948</v>
      </c>
      <c r="C87" s="8" t="s">
        <v>69</v>
      </c>
      <c r="G87" s="8" t="s">
        <v>68</v>
      </c>
      <c r="H87" s="16">
        <f>J79-J77</f>
        <v>63.333333333333371</v>
      </c>
      <c r="I87" s="8" t="s">
        <v>69</v>
      </c>
    </row>
    <row r="88" spans="1:11">
      <c r="A88" s="8" t="s">
        <v>95</v>
      </c>
      <c r="B88" s="16">
        <f>0.92*0.94</f>
        <v>0.86480000000000001</v>
      </c>
      <c r="G88" s="8" t="s">
        <v>95</v>
      </c>
      <c r="H88" s="16">
        <f>0.92*0.94</f>
        <v>0.86480000000000001</v>
      </c>
    </row>
    <row r="89" spans="1:11">
      <c r="A89" s="8" t="s">
        <v>92</v>
      </c>
      <c r="B89" s="16">
        <f>B87/B88</f>
        <v>51.122255221773216</v>
      </c>
      <c r="C89" s="8" t="s">
        <v>69</v>
      </c>
      <c r="G89" s="8" t="s">
        <v>92</v>
      </c>
      <c r="H89" s="16">
        <f>H87/H88</f>
        <v>73.234659266111663</v>
      </c>
      <c r="I89" s="8" t="s">
        <v>69</v>
      </c>
    </row>
    <row r="90" spans="1:11">
      <c r="A90" s="8" t="s">
        <v>70</v>
      </c>
      <c r="B90" s="16">
        <f>D77-D80</f>
        <v>275</v>
      </c>
      <c r="C90" s="8" t="s">
        <v>69</v>
      </c>
      <c r="G90" s="8" t="s">
        <v>70</v>
      </c>
      <c r="H90" s="16">
        <f>J77-J80</f>
        <v>263</v>
      </c>
      <c r="I90" s="8" t="s">
        <v>69</v>
      </c>
    </row>
    <row r="91" spans="1:11">
      <c r="A91" s="8" t="s">
        <v>71</v>
      </c>
      <c r="B91" s="16">
        <f>D79-D80</f>
        <v>319.21052631578948</v>
      </c>
      <c r="C91" s="8" t="s">
        <v>69</v>
      </c>
      <c r="G91" s="8" t="s">
        <v>71</v>
      </c>
      <c r="H91" s="16">
        <f>J79-J80</f>
        <v>326.33333333333337</v>
      </c>
      <c r="I91" s="8" t="s">
        <v>69</v>
      </c>
    </row>
    <row r="92" spans="1:11">
      <c r="B92" s="16"/>
      <c r="H92" s="16"/>
    </row>
    <row r="93" spans="1:11">
      <c r="A93" s="8" t="s">
        <v>72</v>
      </c>
      <c r="B93" s="16">
        <f>B91/B89</f>
        <v>6.2440619047619048</v>
      </c>
      <c r="G93" s="8" t="s">
        <v>72</v>
      </c>
      <c r="H93" s="16">
        <f>H91/H89</f>
        <v>4.4559957894736826</v>
      </c>
    </row>
    <row r="94" spans="1:11">
      <c r="A94" s="8" t="s">
        <v>97</v>
      </c>
      <c r="B94" s="26">
        <v>0.9</v>
      </c>
      <c r="G94" s="8" t="s">
        <v>97</v>
      </c>
      <c r="H94" s="26">
        <v>0.9</v>
      </c>
    </row>
    <row r="95" spans="1:11">
      <c r="A95" s="8" t="s">
        <v>94</v>
      </c>
      <c r="B95" s="16">
        <f>B93*B94</f>
        <v>5.6196557142857149</v>
      </c>
      <c r="G95" s="8" t="s">
        <v>94</v>
      </c>
      <c r="H95" s="16">
        <f>H93*H94</f>
        <v>4.0103962105263147</v>
      </c>
    </row>
    <row r="98" spans="1:11">
      <c r="A98" s="8" t="s">
        <v>81</v>
      </c>
      <c r="C98" s="8">
        <v>135</v>
      </c>
      <c r="D98" s="8" t="s">
        <v>100</v>
      </c>
      <c r="G98" s="8" t="s">
        <v>81</v>
      </c>
      <c r="I98" s="8">
        <v>135</v>
      </c>
      <c r="J98" s="8" t="s">
        <v>100</v>
      </c>
    </row>
    <row r="99" spans="1:11">
      <c r="A99" s="8" t="s">
        <v>101</v>
      </c>
      <c r="C99" s="8">
        <v>10</v>
      </c>
      <c r="D99" s="8" t="s">
        <v>99</v>
      </c>
      <c r="G99" s="8" t="s">
        <v>101</v>
      </c>
      <c r="I99" s="8">
        <v>10</v>
      </c>
      <c r="J99" s="8" t="s">
        <v>99</v>
      </c>
    </row>
    <row r="100" spans="1:11">
      <c r="A100" s="8" t="s">
        <v>102</v>
      </c>
      <c r="C100" s="8">
        <v>8</v>
      </c>
      <c r="D100" s="8" t="s">
        <v>99</v>
      </c>
      <c r="G100" s="8" t="s">
        <v>102</v>
      </c>
      <c r="I100" s="8">
        <v>8</v>
      </c>
      <c r="J100" s="8" t="s">
        <v>99</v>
      </c>
    </row>
    <row r="102" spans="1:11">
      <c r="D102" s="8" t="s">
        <v>83</v>
      </c>
      <c r="E102" s="8" t="s">
        <v>84</v>
      </c>
      <c r="J102" s="8" t="s">
        <v>83</v>
      </c>
      <c r="K102" s="8" t="s">
        <v>84</v>
      </c>
    </row>
    <row r="103" spans="1:11">
      <c r="A103" s="19" t="s">
        <v>74</v>
      </c>
      <c r="B103" s="19" t="s">
        <v>82</v>
      </c>
      <c r="C103" s="19" t="s">
        <v>75</v>
      </c>
      <c r="D103" s="12" t="s">
        <v>80</v>
      </c>
      <c r="E103" s="12" t="s">
        <v>80</v>
      </c>
      <c r="G103" s="19" t="s">
        <v>74</v>
      </c>
      <c r="H103" s="19" t="s">
        <v>82</v>
      </c>
      <c r="I103" s="19" t="s">
        <v>75</v>
      </c>
      <c r="J103" s="12" t="s">
        <v>80</v>
      </c>
      <c r="K103" s="12" t="s">
        <v>80</v>
      </c>
    </row>
    <row r="104" spans="1:11">
      <c r="A104" s="12" t="s">
        <v>76</v>
      </c>
      <c r="B104" s="12">
        <v>1140</v>
      </c>
      <c r="C104" s="18">
        <f>B104/$B$95/$B$88</f>
        <v>234.57377708014303</v>
      </c>
      <c r="D104" s="18">
        <f>(C104/1000)*$C$26*$C$25</f>
        <v>316.67459905819311</v>
      </c>
      <c r="E104" s="18">
        <f>0.95*(B104/1000)*$C$26*$C$25</f>
        <v>1462.05</v>
      </c>
      <c r="G104" s="12" t="s">
        <v>76</v>
      </c>
      <c r="H104" s="12">
        <v>1140</v>
      </c>
      <c r="I104" s="18">
        <f>H104/$H$95/$H$88</f>
        <v>328.70165379919126</v>
      </c>
      <c r="J104" s="18">
        <f>(I104/1000)*$H$95*$C$25</f>
        <v>177.96022201665124</v>
      </c>
      <c r="K104" s="18">
        <f>0.95*(H104/1000)*$C$26*$C$25</f>
        <v>1462.05</v>
      </c>
    </row>
    <row r="105" spans="1:11">
      <c r="A105" s="12" t="s">
        <v>77</v>
      </c>
      <c r="B105" s="12">
        <v>820</v>
      </c>
      <c r="C105" s="18">
        <f>B105/$B$95/$B$88</f>
        <v>168.72850632080463</v>
      </c>
      <c r="D105" s="18">
        <f>(C105/1000)*$C$26*$C$25</f>
        <v>227.78348353308624</v>
      </c>
      <c r="E105" s="18">
        <f>0.95*(B105/1000)*$C$26*$C$25</f>
        <v>1051.6499999999999</v>
      </c>
      <c r="G105" s="12" t="s">
        <v>77</v>
      </c>
      <c r="H105" s="12">
        <v>820</v>
      </c>
      <c r="I105" s="18">
        <f>H105/$H$95/$H$88</f>
        <v>236.43452290819019</v>
      </c>
      <c r="J105" s="18">
        <f>(I105/1000)*$C$26*$C$25</f>
        <v>319.18660592605676</v>
      </c>
      <c r="K105" s="18">
        <f>0.95*(H105/1000)*$C$26*$C$25</f>
        <v>1051.6499999999999</v>
      </c>
    </row>
    <row r="106" spans="1:11">
      <c r="A106" s="12" t="s">
        <v>78</v>
      </c>
      <c r="B106" s="12">
        <v>462</v>
      </c>
      <c r="C106" s="18">
        <f>B106/$B$95/$B$88</f>
        <v>95.064109658794806</v>
      </c>
      <c r="D106" s="18">
        <f>(C106/1000)*$C$26*$C$25</f>
        <v>128.33654803937299</v>
      </c>
      <c r="E106" s="18">
        <f>0.95*(B106/1000)*$C$26*$C$25</f>
        <v>592.51499999999999</v>
      </c>
      <c r="G106" s="12" t="s">
        <v>78</v>
      </c>
      <c r="H106" s="12">
        <v>462</v>
      </c>
      <c r="I106" s="18">
        <f>H106/$H$95/$H$88</f>
        <v>133.21067022388277</v>
      </c>
      <c r="J106" s="18">
        <f>(I106/1000)*$C$26*$C$25</f>
        <v>179.83440480224175</v>
      </c>
      <c r="K106" s="18">
        <f>0.95*(H106/1000)*$C$26*$C$25</f>
        <v>592.51499999999999</v>
      </c>
    </row>
    <row r="107" spans="1:11">
      <c r="A107" s="12" t="s">
        <v>79</v>
      </c>
      <c r="B107" s="12">
        <v>1005</v>
      </c>
      <c r="C107" s="18">
        <f>B107/$B$95/$B$88</f>
        <v>206.79530347854714</v>
      </c>
      <c r="D107" s="18">
        <f>(C107/1000)*$C$27*$C$25</f>
        <v>223.33892775683091</v>
      </c>
      <c r="E107" s="18">
        <f>0.95*(B107/1000)*C100*$C$25</f>
        <v>1031.1299999999999</v>
      </c>
      <c r="G107" s="12" t="s">
        <v>79</v>
      </c>
      <c r="H107" s="12">
        <v>1005</v>
      </c>
      <c r="I107" s="18">
        <f>H107/$H$95/$H$88</f>
        <v>289.77645795455021</v>
      </c>
      <c r="J107" s="18">
        <f>(I107/1000)*$C$27*$C$25</f>
        <v>312.95857459091422</v>
      </c>
      <c r="K107" s="18">
        <f>0.95*(H107/1000)*I100*$C$25</f>
        <v>1031.1299999999999</v>
      </c>
    </row>
    <row r="108" spans="1:11">
      <c r="A108" s="12"/>
      <c r="B108" s="12"/>
      <c r="C108" s="18"/>
      <c r="D108" s="20">
        <f>SUM(D104:D107)</f>
        <v>896.13355838748328</v>
      </c>
      <c r="E108" s="20">
        <f>SUM(E104:E107)</f>
        <v>4137.3449999999993</v>
      </c>
      <c r="G108" s="12"/>
      <c r="H108" s="12"/>
      <c r="I108" s="18"/>
      <c r="J108" s="20">
        <f>SUM(J104:J107)</f>
        <v>989.93980733586386</v>
      </c>
      <c r="K108" s="20">
        <f>SUM(K104:K107)</f>
        <v>4137.3449999999993</v>
      </c>
    </row>
    <row r="109" spans="1:11">
      <c r="C109" s="21"/>
      <c r="D109" s="17">
        <f>D108*0.23</f>
        <v>206.11071842912116</v>
      </c>
      <c r="E109" s="17">
        <f>E108*0.1</f>
        <v>413.73449999999997</v>
      </c>
      <c r="I109" s="21"/>
      <c r="J109" s="17">
        <f>J108*0.23</f>
        <v>227.68615568724869</v>
      </c>
      <c r="K109" s="17">
        <f>K108*0.1</f>
        <v>413.73449999999997</v>
      </c>
    </row>
    <row r="110" spans="1:11">
      <c r="D110" s="22" t="s">
        <v>35</v>
      </c>
      <c r="E110" s="22" t="s">
        <v>35</v>
      </c>
      <c r="J110" s="22" t="s">
        <v>35</v>
      </c>
      <c r="K110" s="22" t="s">
        <v>35</v>
      </c>
    </row>
    <row r="111" spans="1:11">
      <c r="A111" s="8" t="s">
        <v>103</v>
      </c>
      <c r="D111" s="22"/>
      <c r="E111" s="22"/>
      <c r="G111" s="8" t="s">
        <v>103</v>
      </c>
      <c r="J111" s="22"/>
      <c r="K111" s="22"/>
    </row>
    <row r="112" spans="1:11">
      <c r="A112" s="8" t="s">
        <v>104</v>
      </c>
      <c r="C112" s="17">
        <f>$E$109-$D$109</f>
        <v>207.6237815708788</v>
      </c>
      <c r="D112" s="8" t="s">
        <v>35</v>
      </c>
      <c r="E112" s="22"/>
      <c r="G112" s="8" t="s">
        <v>104</v>
      </c>
      <c r="I112" s="17">
        <f>$K$109-$J$109</f>
        <v>186.04834431275128</v>
      </c>
      <c r="J112" s="8" t="s">
        <v>35</v>
      </c>
      <c r="K112" s="22"/>
    </row>
    <row r="113" spans="1:11">
      <c r="A113" s="8" t="s">
        <v>85</v>
      </c>
      <c r="C113" s="8">
        <v>3143</v>
      </c>
      <c r="D113" s="8" t="s">
        <v>35</v>
      </c>
      <c r="E113" s="17"/>
      <c r="G113" s="8" t="s">
        <v>85</v>
      </c>
      <c r="I113" s="8">
        <v>3143</v>
      </c>
      <c r="J113" s="8" t="s">
        <v>35</v>
      </c>
      <c r="K113" s="17"/>
    </row>
    <row r="114" spans="1:11">
      <c r="A114" s="8" t="s">
        <v>86</v>
      </c>
      <c r="C114" s="8">
        <f>402*4</f>
        <v>1608</v>
      </c>
      <c r="D114" s="8" t="s">
        <v>35</v>
      </c>
      <c r="G114" s="8" t="s">
        <v>86</v>
      </c>
      <c r="I114" s="8">
        <f>402*4</f>
        <v>1608</v>
      </c>
      <c r="J114" s="8" t="s">
        <v>35</v>
      </c>
    </row>
    <row r="115" spans="1:11">
      <c r="A115" s="8" t="s">
        <v>87</v>
      </c>
      <c r="C115" s="8">
        <f>300*4</f>
        <v>1200</v>
      </c>
      <c r="D115" s="8" t="s">
        <v>35</v>
      </c>
      <c r="G115" s="8" t="s">
        <v>87</v>
      </c>
      <c r="I115" s="8">
        <f>300*4</f>
        <v>1200</v>
      </c>
      <c r="J115" s="8" t="s">
        <v>35</v>
      </c>
    </row>
    <row r="116" spans="1:11">
      <c r="A116" s="8" t="s">
        <v>88</v>
      </c>
      <c r="C116" s="8">
        <f>(C113+C114+C115)-(C113+C114+C115)*0.2</f>
        <v>4760.8</v>
      </c>
      <c r="D116" s="8" t="s">
        <v>35</v>
      </c>
      <c r="G116" s="8" t="s">
        <v>88</v>
      </c>
      <c r="I116" s="8">
        <f>(I113+I114+I115)-(I113+I114+I115)*0.2</f>
        <v>4760.8</v>
      </c>
      <c r="J116" s="8" t="s">
        <v>35</v>
      </c>
    </row>
    <row r="118" spans="1:11">
      <c r="A118" s="8" t="s">
        <v>89</v>
      </c>
      <c r="C118" s="8">
        <f>C116/2</f>
        <v>2380.4</v>
      </c>
      <c r="D118" s="8" t="s">
        <v>35</v>
      </c>
      <c r="G118" s="8" t="s">
        <v>89</v>
      </c>
      <c r="I118" s="8">
        <f>I116/2</f>
        <v>2380.4</v>
      </c>
      <c r="J118" s="8" t="s">
        <v>35</v>
      </c>
    </row>
    <row r="119" spans="1:11">
      <c r="A119" s="8" t="s">
        <v>90</v>
      </c>
      <c r="C119" s="9">
        <f>C118/(E109-D109)</f>
        <v>11.464967943411516</v>
      </c>
      <c r="G119" s="8" t="s">
        <v>90</v>
      </c>
      <c r="I119" s="9">
        <f>I118/(K109-J109)</f>
        <v>12.794523965225384</v>
      </c>
    </row>
    <row r="122" spans="1:11">
      <c r="A122" s="8" t="s">
        <v>106</v>
      </c>
      <c r="C122" s="8">
        <v>1000</v>
      </c>
      <c r="D122" s="8" t="s">
        <v>35</v>
      </c>
      <c r="G122" s="8" t="s">
        <v>106</v>
      </c>
      <c r="I122" s="8">
        <v>1000</v>
      </c>
      <c r="J122" s="8" t="s">
        <v>35</v>
      </c>
    </row>
    <row r="123" spans="1:11">
      <c r="A123" s="8" t="s">
        <v>104</v>
      </c>
      <c r="C123" s="17">
        <f>E109</f>
        <v>413.73449999999997</v>
      </c>
      <c r="D123" s="8" t="s">
        <v>35</v>
      </c>
      <c r="E123" s="22"/>
      <c r="G123" s="8" t="s">
        <v>104</v>
      </c>
      <c r="I123" s="17">
        <f>K109</f>
        <v>413.73449999999997</v>
      </c>
      <c r="J123" s="8" t="s">
        <v>35</v>
      </c>
      <c r="K123" s="22"/>
    </row>
    <row r="124" spans="1:11">
      <c r="A124" s="8" t="s">
        <v>85</v>
      </c>
      <c r="C124" s="8">
        <v>3143</v>
      </c>
      <c r="D124" s="8" t="s">
        <v>35</v>
      </c>
      <c r="E124" s="17"/>
      <c r="G124" s="8" t="s">
        <v>85</v>
      </c>
      <c r="I124" s="8">
        <v>3143</v>
      </c>
      <c r="J124" s="8" t="s">
        <v>35</v>
      </c>
    </row>
    <row r="125" spans="1:11">
      <c r="A125" s="8" t="s">
        <v>86</v>
      </c>
      <c r="C125" s="8">
        <f>402*4</f>
        <v>1608</v>
      </c>
      <c r="D125" s="8" t="s">
        <v>35</v>
      </c>
      <c r="G125" s="8" t="s">
        <v>86</v>
      </c>
      <c r="I125" s="8">
        <f>402*4</f>
        <v>1608</v>
      </c>
      <c r="J125" s="8" t="s">
        <v>35</v>
      </c>
    </row>
    <row r="126" spans="1:11">
      <c r="A126" s="8" t="s">
        <v>87</v>
      </c>
      <c r="C126" s="8">
        <f>300*4</f>
        <v>1200</v>
      </c>
      <c r="D126" s="8" t="s">
        <v>35</v>
      </c>
      <c r="G126" s="8" t="s">
        <v>87</v>
      </c>
      <c r="I126" s="8">
        <f>300*4</f>
        <v>1200</v>
      </c>
      <c r="J126" s="8" t="s">
        <v>35</v>
      </c>
    </row>
    <row r="127" spans="1:11">
      <c r="A127" s="8" t="s">
        <v>88</v>
      </c>
      <c r="C127" s="8">
        <f>C122+(C124+C125+C126)-(C124+C125+C126)*0.2</f>
        <v>5760.8</v>
      </c>
      <c r="D127" s="8" t="s">
        <v>35</v>
      </c>
      <c r="G127" s="8" t="s">
        <v>88</v>
      </c>
      <c r="I127" s="8">
        <f>I122+(I124+I125+I126)-(I124+I125+I126)*0.2</f>
        <v>5760.8</v>
      </c>
      <c r="J127" s="8" t="s">
        <v>35</v>
      </c>
    </row>
    <row r="129" spans="1:10">
      <c r="A129" s="8" t="s">
        <v>89</v>
      </c>
      <c r="C129" s="8">
        <f>C127/2</f>
        <v>2880.4</v>
      </c>
      <c r="D129" s="8" t="s">
        <v>35</v>
      </c>
      <c r="G129" s="8" t="s">
        <v>89</v>
      </c>
      <c r="I129" s="8">
        <f>I127/2</f>
        <v>2880.4</v>
      </c>
      <c r="J129" s="8" t="s">
        <v>35</v>
      </c>
    </row>
    <row r="130" spans="1:10">
      <c r="A130" s="8" t="s">
        <v>90</v>
      </c>
      <c r="C130" s="9">
        <f>C129/C123</f>
        <v>6.9619526532111786</v>
      </c>
      <c r="G130" s="8" t="s">
        <v>90</v>
      </c>
      <c r="I130" s="9">
        <f>I129/I123</f>
        <v>6.9619526532111786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S37" sqref="S37"/>
    </sheetView>
  </sheetViews>
  <sheetFormatPr defaultColWidth="8.77734375" defaultRowHeight="15.6"/>
  <cols>
    <col min="1" max="1" width="47.5546875" style="1" customWidth="1"/>
    <col min="2" max="2" width="16.77734375" style="1" customWidth="1"/>
    <col min="3" max="3" width="12.6640625" style="1" customWidth="1"/>
    <col min="4" max="16384" width="8.77734375" style="1"/>
  </cols>
  <sheetData>
    <row r="1" spans="1:4">
      <c r="A1" s="28" t="s">
        <v>110</v>
      </c>
    </row>
    <row r="3" spans="1:4">
      <c r="A3" s="1" t="s">
        <v>19</v>
      </c>
      <c r="B3" s="1">
        <v>3000</v>
      </c>
      <c r="C3" s="1" t="s">
        <v>2</v>
      </c>
    </row>
    <row r="4" spans="1:4">
      <c r="A4" s="1" t="s">
        <v>28</v>
      </c>
      <c r="B4" s="1">
        <v>156.94999999999999</v>
      </c>
      <c r="C4" s="1" t="s">
        <v>7</v>
      </c>
    </row>
    <row r="6" spans="1:4">
      <c r="A6" s="1" t="s">
        <v>29</v>
      </c>
      <c r="B6" s="3">
        <v>159.76</v>
      </c>
      <c r="C6" s="1" t="s">
        <v>4</v>
      </c>
    </row>
    <row r="7" spans="1:4">
      <c r="A7" s="1" t="s">
        <v>30</v>
      </c>
      <c r="B7" s="3">
        <v>42.61</v>
      </c>
      <c r="C7" s="1" t="s">
        <v>1</v>
      </c>
    </row>
    <row r="8" spans="1:4">
      <c r="A8" s="1" t="s">
        <v>11</v>
      </c>
      <c r="B8" s="2">
        <f>B7/B6</f>
        <v>0.26671256885327993</v>
      </c>
    </row>
    <row r="10" spans="1:4">
      <c r="A10" s="1" t="s">
        <v>23</v>
      </c>
      <c r="B10" s="3">
        <f>B7*B4</f>
        <v>6687.6394999999993</v>
      </c>
      <c r="C10" s="1" t="s">
        <v>0</v>
      </c>
    </row>
    <row r="12" spans="1:4">
      <c r="A12" s="29" t="s">
        <v>31</v>
      </c>
    </row>
    <row r="13" spans="1:4">
      <c r="A13" s="30" t="s">
        <v>33</v>
      </c>
      <c r="B13" s="3">
        <f>B10/10.69</f>
        <v>625.59770813844716</v>
      </c>
      <c r="C13" s="1" t="s">
        <v>32</v>
      </c>
    </row>
    <row r="14" spans="1:4">
      <c r="A14" s="30" t="s">
        <v>60</v>
      </c>
      <c r="B14" s="1">
        <v>0.9</v>
      </c>
      <c r="C14" s="1" t="s">
        <v>34</v>
      </c>
    </row>
    <row r="15" spans="1:4">
      <c r="A15" s="30" t="s">
        <v>61</v>
      </c>
      <c r="B15" s="3">
        <f>B13*B14</f>
        <v>563.03793732460247</v>
      </c>
      <c r="C15" s="1" t="s">
        <v>35</v>
      </c>
      <c r="D15" s="31"/>
    </row>
    <row r="16" spans="1:4">
      <c r="A16" s="30"/>
    </row>
    <row r="17" spans="1:3">
      <c r="A17" s="1" t="s">
        <v>25</v>
      </c>
      <c r="B17" s="1">
        <v>183</v>
      </c>
      <c r="C17" s="1" t="s">
        <v>2</v>
      </c>
    </row>
    <row r="18" spans="1:3">
      <c r="A18" s="1" t="s">
        <v>12</v>
      </c>
      <c r="B18" s="1">
        <v>14</v>
      </c>
      <c r="C18" s="1" t="s">
        <v>9</v>
      </c>
    </row>
    <row r="19" spans="1:3">
      <c r="A19" s="1" t="s">
        <v>59</v>
      </c>
      <c r="B19" s="2">
        <v>0.9</v>
      </c>
    </row>
    <row r="21" spans="1:3">
      <c r="A21" s="1" t="s">
        <v>26</v>
      </c>
      <c r="B21" s="2">
        <f>B10/(B17*B18)/(B19)</f>
        <v>2.9003554081013094</v>
      </c>
      <c r="C21" s="1" t="s">
        <v>3</v>
      </c>
    </row>
    <row r="22" spans="1:3">
      <c r="A22" s="1" t="s">
        <v>111</v>
      </c>
    </row>
    <row r="24" spans="1:3">
      <c r="B24" s="3"/>
    </row>
    <row r="36" spans="3:3">
      <c r="C36"/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L18" sqref="L18"/>
    </sheetView>
  </sheetViews>
  <sheetFormatPr defaultColWidth="8.77734375" defaultRowHeight="15.6"/>
  <cols>
    <col min="1" max="1" width="33.33203125" style="1" customWidth="1"/>
    <col min="2" max="2" width="8.77734375" style="1"/>
    <col min="3" max="3" width="11.6640625" style="1" customWidth="1"/>
    <col min="4" max="16384" width="8.77734375" style="1"/>
  </cols>
  <sheetData>
    <row r="1" spans="1:4" ht="18">
      <c r="A1" s="4" t="s">
        <v>27</v>
      </c>
    </row>
    <row r="3" spans="1:4">
      <c r="A3" s="1" t="s">
        <v>19</v>
      </c>
      <c r="B3" s="1">
        <v>3000</v>
      </c>
      <c r="C3" s="1" t="s">
        <v>2</v>
      </c>
    </row>
    <row r="4" spans="1:4">
      <c r="A4" s="1" t="s">
        <v>6</v>
      </c>
      <c r="B4" s="1">
        <v>196.8</v>
      </c>
      <c r="C4" s="1" t="s">
        <v>1</v>
      </c>
    </row>
    <row r="5" spans="1:4">
      <c r="A5" s="1" t="s">
        <v>20</v>
      </c>
      <c r="B5" s="1">
        <v>706</v>
      </c>
      <c r="C5" s="1" t="s">
        <v>4</v>
      </c>
      <c r="D5" s="1" t="s">
        <v>16</v>
      </c>
    </row>
    <row r="6" spans="1:4">
      <c r="A6" s="1" t="s">
        <v>21</v>
      </c>
      <c r="B6" s="1">
        <v>475</v>
      </c>
      <c r="C6" s="1" t="s">
        <v>1</v>
      </c>
      <c r="D6" s="1" t="s">
        <v>17</v>
      </c>
    </row>
    <row r="7" spans="1:4">
      <c r="A7" s="1" t="s">
        <v>11</v>
      </c>
      <c r="B7" s="2">
        <f>B6/B5</f>
        <v>0.67280453257790374</v>
      </c>
    </row>
    <row r="8" spans="1:4">
      <c r="B8" s="2"/>
    </row>
    <row r="9" spans="1:4">
      <c r="A9" s="1" t="s">
        <v>22</v>
      </c>
      <c r="B9" s="2"/>
    </row>
    <row r="10" spans="1:4">
      <c r="A10" s="1" t="s">
        <v>18</v>
      </c>
      <c r="B10" s="5">
        <v>93.6</v>
      </c>
      <c r="C10" s="1" t="s">
        <v>7</v>
      </c>
      <c r="D10" s="1" t="s">
        <v>5</v>
      </c>
    </row>
    <row r="12" spans="1:4">
      <c r="A12" s="1" t="s">
        <v>23</v>
      </c>
      <c r="B12" s="1">
        <f>B6*B10</f>
        <v>44460</v>
      </c>
      <c r="C12" s="1" t="s">
        <v>0</v>
      </c>
    </row>
    <row r="13" spans="1:4">
      <c r="A13" s="1" t="s">
        <v>24</v>
      </c>
      <c r="B13" s="6">
        <f>B12/B5</f>
        <v>62.974504249291783</v>
      </c>
      <c r="C13" s="1" t="s">
        <v>8</v>
      </c>
    </row>
    <row r="15" spans="1:4">
      <c r="A15" s="1" t="s">
        <v>25</v>
      </c>
      <c r="B15" s="1">
        <v>183</v>
      </c>
      <c r="C15" s="1" t="s">
        <v>2</v>
      </c>
    </row>
    <row r="16" spans="1:4">
      <c r="A16" s="1" t="s">
        <v>12</v>
      </c>
      <c r="B16" s="1">
        <v>14</v>
      </c>
      <c r="C16" s="1" t="s">
        <v>9</v>
      </c>
    </row>
    <row r="17" spans="1:3">
      <c r="A17" s="1" t="s">
        <v>13</v>
      </c>
      <c r="B17" s="2">
        <v>0.92</v>
      </c>
    </row>
    <row r="18" spans="1:3">
      <c r="A18" s="1" t="s">
        <v>10</v>
      </c>
      <c r="B18" s="2">
        <v>0.94</v>
      </c>
    </row>
    <row r="20" spans="1:3">
      <c r="A20" s="1" t="s">
        <v>26</v>
      </c>
      <c r="B20" s="2">
        <f>B12/(B15*B16)/(B17*B18)</f>
        <v>20.066639658395925</v>
      </c>
      <c r="C20" s="1" t="s">
        <v>3</v>
      </c>
    </row>
    <row r="22" spans="1:3">
      <c r="A22" s="1" t="s">
        <v>14</v>
      </c>
    </row>
    <row r="23" spans="1:3">
      <c r="A23" s="1" t="s">
        <v>15</v>
      </c>
      <c r="B23" s="3">
        <f>B12/B4</f>
        <v>225.91463414634146</v>
      </c>
      <c r="C23" s="1" t="s">
        <v>7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K29" sqref="K29"/>
    </sheetView>
  </sheetViews>
  <sheetFormatPr defaultRowHeight="14.4"/>
  <cols>
    <col min="1" max="1" width="18.44140625" style="8" customWidth="1"/>
    <col min="2" max="2" width="11.77734375" style="8" customWidth="1"/>
    <col min="3" max="4" width="8.88671875" style="8"/>
    <col min="5" max="5" width="11.5546875" style="8" customWidth="1"/>
    <col min="6" max="16384" width="8.88671875" style="8"/>
  </cols>
  <sheetData>
    <row r="1" spans="1:5">
      <c r="A1" s="7" t="s">
        <v>39</v>
      </c>
    </row>
    <row r="2" spans="1:5">
      <c r="A2" s="7"/>
    </row>
    <row r="3" spans="1:5">
      <c r="A3" s="7" t="s">
        <v>40</v>
      </c>
    </row>
    <row r="4" spans="1:5">
      <c r="A4" s="12" t="s">
        <v>42</v>
      </c>
      <c r="B4" s="12"/>
      <c r="C4" s="12"/>
      <c r="D4" s="27">
        <f>1/8</f>
        <v>0.125</v>
      </c>
    </row>
    <row r="5" spans="1:5">
      <c r="A5" s="12" t="s">
        <v>108</v>
      </c>
      <c r="B5" s="12">
        <v>0.02</v>
      </c>
      <c r="C5" s="12">
        <v>0.7</v>
      </c>
      <c r="D5" s="27">
        <f>B5/C5</f>
        <v>2.8571428571428574E-2</v>
      </c>
    </row>
    <row r="6" spans="1:5">
      <c r="A6" s="12" t="s">
        <v>109</v>
      </c>
      <c r="B6" s="12">
        <v>0.08</v>
      </c>
      <c r="C6" s="12">
        <v>0.66</v>
      </c>
      <c r="D6" s="27">
        <f t="shared" ref="D6:D10" si="0">B6/C6</f>
        <v>0.12121212121212122</v>
      </c>
    </row>
    <row r="7" spans="1:5">
      <c r="A7" s="12" t="s">
        <v>42</v>
      </c>
      <c r="B7" s="12">
        <v>0.04</v>
      </c>
      <c r="C7" s="12">
        <v>0.22</v>
      </c>
      <c r="D7" s="27">
        <f t="shared" si="0"/>
        <v>0.18181818181818182</v>
      </c>
    </row>
    <row r="8" spans="1:5">
      <c r="A8" s="12" t="s">
        <v>108</v>
      </c>
      <c r="B8" s="12">
        <v>0.02</v>
      </c>
      <c r="C8" s="12">
        <v>1.4</v>
      </c>
      <c r="D8" s="27">
        <f t="shared" si="0"/>
        <v>1.4285714285714287E-2</v>
      </c>
    </row>
    <row r="9" spans="1:5">
      <c r="A9" s="12" t="s">
        <v>109</v>
      </c>
      <c r="B9" s="12">
        <v>0.12</v>
      </c>
      <c r="C9" s="12">
        <v>0.66</v>
      </c>
      <c r="D9" s="27">
        <f t="shared" si="0"/>
        <v>0.1818181818181818</v>
      </c>
    </row>
    <row r="10" spans="1:5">
      <c r="A10" s="12" t="s">
        <v>108</v>
      </c>
      <c r="B10" s="12">
        <v>0.03</v>
      </c>
      <c r="C10" s="12">
        <v>0.9</v>
      </c>
      <c r="D10" s="27">
        <f t="shared" si="0"/>
        <v>3.3333333333333333E-2</v>
      </c>
    </row>
    <row r="11" spans="1:5">
      <c r="A11" s="12" t="s">
        <v>42</v>
      </c>
      <c r="B11" s="12"/>
      <c r="C11" s="12"/>
      <c r="D11" s="27">
        <f>1/23</f>
        <v>4.3478260869565216E-2</v>
      </c>
    </row>
    <row r="12" spans="1:5">
      <c r="C12" s="8" t="s">
        <v>52</v>
      </c>
      <c r="D12" s="21">
        <f>SUM(D4:D11)</f>
        <v>0.72951722190852619</v>
      </c>
    </row>
    <row r="13" spans="1:5">
      <c r="C13" s="8" t="s">
        <v>53</v>
      </c>
      <c r="D13" s="21">
        <f>1/D12</f>
        <v>1.3707695582344861</v>
      </c>
      <c r="E13" s="8" t="s">
        <v>54</v>
      </c>
    </row>
    <row r="14" spans="1:5">
      <c r="D14" s="21"/>
    </row>
    <row r="15" spans="1:5">
      <c r="A15" s="7" t="s">
        <v>41</v>
      </c>
      <c r="D15" s="21"/>
    </row>
    <row r="16" spans="1:5">
      <c r="A16" s="12" t="s">
        <v>42</v>
      </c>
      <c r="B16" s="12"/>
      <c r="C16" s="12"/>
      <c r="D16" s="27">
        <v>0.125</v>
      </c>
    </row>
    <row r="17" spans="1:5">
      <c r="A17" s="12" t="s">
        <v>43</v>
      </c>
      <c r="B17" s="12"/>
      <c r="C17" s="12"/>
      <c r="D17" s="27">
        <f>1/5</f>
        <v>0.2</v>
      </c>
    </row>
    <row r="18" spans="1:5">
      <c r="A18" s="12" t="s">
        <v>42</v>
      </c>
      <c r="B18" s="12"/>
      <c r="C18" s="12"/>
      <c r="D18" s="27">
        <f>1/23</f>
        <v>4.3478260869565216E-2</v>
      </c>
    </row>
    <row r="19" spans="1:5">
      <c r="C19" s="8" t="s">
        <v>52</v>
      </c>
      <c r="D19" s="21">
        <f>SUM(D16:D18)</f>
        <v>0.36847826086956526</v>
      </c>
    </row>
    <row r="20" spans="1:5">
      <c r="C20" s="8" t="s">
        <v>53</v>
      </c>
      <c r="D20" s="21">
        <f>D19^-1</f>
        <v>2.7138643067846604</v>
      </c>
      <c r="E20" s="8" t="s">
        <v>54</v>
      </c>
    </row>
    <row r="22" spans="1:5">
      <c r="A22" s="7" t="s">
        <v>38</v>
      </c>
      <c r="B22" s="11"/>
      <c r="C22" s="11"/>
    </row>
    <row r="23" spans="1:5">
      <c r="A23" s="10" t="s">
        <v>37</v>
      </c>
    </row>
    <row r="24" spans="1:5">
      <c r="A24" s="10" t="s">
        <v>107</v>
      </c>
    </row>
    <row r="25" spans="1:5">
      <c r="A25" s="10"/>
    </row>
    <row r="26" spans="1:5">
      <c r="A26" s="8" t="s">
        <v>44</v>
      </c>
      <c r="B26" s="8">
        <v>28</v>
      </c>
      <c r="C26" s="8" t="s">
        <v>46</v>
      </c>
    </row>
    <row r="27" spans="1:5">
      <c r="A27" s="8" t="s">
        <v>45</v>
      </c>
      <c r="B27" s="8">
        <v>70</v>
      </c>
      <c r="C27" s="8" t="s">
        <v>51</v>
      </c>
    </row>
    <row r="28" spans="1:5">
      <c r="A28" s="8" t="s">
        <v>49</v>
      </c>
      <c r="B28" s="8">
        <v>16.7</v>
      </c>
      <c r="C28" s="8" t="s">
        <v>47</v>
      </c>
    </row>
    <row r="29" spans="1:5">
      <c r="A29" s="8" t="s">
        <v>114</v>
      </c>
    </row>
    <row r="30" spans="1:5">
      <c r="A30" s="8" t="s">
        <v>115</v>
      </c>
      <c r="B30" s="8">
        <v>5</v>
      </c>
      <c r="C30" s="8" t="s">
        <v>47</v>
      </c>
    </row>
    <row r="32" spans="1:5">
      <c r="A32" s="8" t="s">
        <v>50</v>
      </c>
      <c r="B32" s="8">
        <v>1006</v>
      </c>
      <c r="C32" s="8" t="s">
        <v>56</v>
      </c>
      <c r="D32" s="8">
        <f>B32/4186</f>
        <v>0.24032489249880554</v>
      </c>
      <c r="E32" s="8" t="s">
        <v>58</v>
      </c>
    </row>
    <row r="33" spans="1:5">
      <c r="A33" s="8" t="s">
        <v>57</v>
      </c>
      <c r="B33" s="8">
        <v>4186</v>
      </c>
      <c r="C33" s="8" t="s">
        <v>56</v>
      </c>
      <c r="D33" s="8">
        <f>B33/4186</f>
        <v>1</v>
      </c>
      <c r="E33" s="8" t="s">
        <v>58</v>
      </c>
    </row>
    <row r="34" spans="1:5">
      <c r="A34" s="8" t="s">
        <v>117</v>
      </c>
      <c r="B34" s="8">
        <f>2501</f>
        <v>2501</v>
      </c>
      <c r="C34" s="8" t="s">
        <v>118</v>
      </c>
      <c r="D34" s="8">
        <f>B34/4.186</f>
        <v>597.46774964166275</v>
      </c>
      <c r="E34" s="8" t="s">
        <v>36</v>
      </c>
    </row>
    <row r="36" spans="1:5">
      <c r="A36" s="8" t="s">
        <v>116</v>
      </c>
      <c r="B36" s="9">
        <f>(B30/1000)*(2501+1.805*B26)</f>
        <v>12.7577</v>
      </c>
      <c r="C36" s="8" t="s">
        <v>48</v>
      </c>
    </row>
    <row r="37" spans="1:5">
      <c r="A37" s="8" t="s">
        <v>119</v>
      </c>
    </row>
    <row r="38" spans="1:5">
      <c r="A38" s="8" t="s">
        <v>120</v>
      </c>
    </row>
    <row r="39" spans="1:5">
      <c r="A39" s="8" t="s">
        <v>55</v>
      </c>
      <c r="B39" s="9">
        <f>1000*B36/B32</f>
        <v>12.681610337972169</v>
      </c>
      <c r="C39" s="8" t="s">
        <v>46</v>
      </c>
      <c r="E39" s="9"/>
    </row>
    <row r="40" spans="1:5">
      <c r="A40" s="8" t="s">
        <v>121</v>
      </c>
      <c r="B40" s="9">
        <f>B26+B39</f>
        <v>40.681610337972167</v>
      </c>
      <c r="C40" s="8" t="s">
        <v>46</v>
      </c>
      <c r="E40" s="9"/>
    </row>
    <row r="41" spans="1:5">
      <c r="A41" s="8" t="s">
        <v>122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PDC e rendimenti</vt:lpstr>
      <vt:lpstr>Eph</vt:lpstr>
      <vt:lpstr>Eph limite</vt:lpstr>
      <vt:lpstr>Trasmittanze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2021-04-13T13:29:48Z</cp:lastPrinted>
  <dcterms:created xsi:type="dcterms:W3CDTF">2021-02-03T09:17:38Z</dcterms:created>
  <dcterms:modified xsi:type="dcterms:W3CDTF">2025-02-08T17:39:19Z</dcterms:modified>
</cp:coreProperties>
</file>