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90" yWindow="20" windowWidth="13330" windowHeight="10030" tabRatio="543"/>
  </bookViews>
  <sheets>
    <sheet name="Foglio1" sheetId="1" r:id="rId1"/>
    <sheet name="Foglio2" sheetId="2" r:id="rId2"/>
    <sheet name="Foglio3" sheetId="3" r:id="rId3"/>
  </sheets>
  <calcPr calcId="125725"/>
</workbook>
</file>

<file path=xl/calcChain.xml><?xml version="1.0" encoding="utf-8"?>
<calcChain xmlns="http://schemas.openxmlformats.org/spreadsheetml/2006/main">
  <c r="B70" i="1"/>
  <c r="B77"/>
  <c r="G5"/>
  <c r="E17"/>
  <c r="X27"/>
  <c r="X28" s="1"/>
  <c r="W27"/>
  <c r="W28" s="1"/>
  <c r="V27"/>
  <c r="V28" s="1"/>
  <c r="U27"/>
  <c r="U28" s="1"/>
  <c r="T27"/>
  <c r="T28" s="1"/>
  <c r="W29"/>
  <c r="V29"/>
  <c r="T29"/>
  <c r="AB21"/>
  <c r="AB22" s="1"/>
  <c r="AB23" s="1"/>
  <c r="AA21"/>
  <c r="AA22" s="1"/>
  <c r="AA23" s="1"/>
  <c r="Z21"/>
  <c r="Z22" s="1"/>
  <c r="Z23" s="1"/>
  <c r="Y21"/>
  <c r="Y22" s="1"/>
  <c r="Y23" s="1"/>
  <c r="W21"/>
  <c r="W22" s="1"/>
  <c r="W23" s="1"/>
  <c r="V21"/>
  <c r="V22" s="1"/>
  <c r="U21"/>
  <c r="U22" s="1"/>
  <c r="T21"/>
  <c r="T22" s="1"/>
  <c r="T23" s="1"/>
  <c r="K65"/>
  <c r="K66" s="1"/>
  <c r="K67" s="1"/>
  <c r="K44"/>
  <c r="N27"/>
  <c r="N28" s="1"/>
  <c r="N29" s="1"/>
  <c r="N15"/>
  <c r="N16" s="1"/>
  <c r="K7"/>
  <c r="K8" s="1"/>
  <c r="K70"/>
  <c r="K72" s="1"/>
  <c r="M51"/>
  <c r="O51" s="1"/>
  <c r="Q51" s="1"/>
  <c r="K53" s="1"/>
  <c r="K20"/>
  <c r="K19"/>
  <c r="N19" s="1"/>
  <c r="N9"/>
  <c r="P8"/>
  <c r="N8"/>
  <c r="X8"/>
  <c r="AC8"/>
  <c r="W14"/>
  <c r="W13"/>
  <c r="Z6"/>
  <c r="Z7" s="1"/>
  <c r="Z8" s="1"/>
  <c r="U6"/>
  <c r="U7" s="1"/>
  <c r="U8" s="1"/>
  <c r="W6"/>
  <c r="W7" s="1"/>
  <c r="W8" s="1"/>
  <c r="AB6"/>
  <c r="AB7" s="1"/>
  <c r="AB8" s="1"/>
  <c r="T6"/>
  <c r="T7" s="1"/>
  <c r="T8" s="1"/>
  <c r="X14"/>
  <c r="X13"/>
  <c r="X15" s="1"/>
  <c r="V14"/>
  <c r="V13"/>
  <c r="U14"/>
  <c r="U13"/>
  <c r="T14"/>
  <c r="T13"/>
  <c r="V6"/>
  <c r="V7" s="1"/>
  <c r="V8" s="1"/>
  <c r="AA6"/>
  <c r="AA7" s="1"/>
  <c r="AA8" s="1"/>
  <c r="Y6"/>
  <c r="Y7" s="1"/>
  <c r="Y8" s="1"/>
  <c r="B73"/>
  <c r="B75" s="1"/>
  <c r="B76" s="1"/>
  <c r="B68"/>
  <c r="B69" s="1"/>
  <c r="B7"/>
  <c r="B8" s="1"/>
  <c r="B9" s="1"/>
  <c r="D51"/>
  <c r="F51" s="1"/>
  <c r="H51" s="1"/>
  <c r="B53" s="1"/>
  <c r="E9"/>
  <c r="G9" s="1"/>
  <c r="B44"/>
  <c r="E27"/>
  <c r="E28" s="1"/>
  <c r="E15"/>
  <c r="E16" s="1"/>
  <c r="B20"/>
  <c r="B19"/>
  <c r="B35" s="1"/>
  <c r="B54" s="1"/>
  <c r="B89" s="1"/>
  <c r="K58" l="1"/>
  <c r="N70" s="1"/>
  <c r="B90"/>
  <c r="B91"/>
  <c r="X30"/>
  <c r="X29"/>
  <c r="U29"/>
  <c r="U30" s="1"/>
  <c r="V23"/>
  <c r="V30"/>
  <c r="U23"/>
  <c r="T30"/>
  <c r="W30"/>
  <c r="N17"/>
  <c r="K31" s="1"/>
  <c r="K73"/>
  <c r="K74" s="1"/>
  <c r="K35"/>
  <c r="K54" s="1"/>
  <c r="N20"/>
  <c r="K9"/>
  <c r="W15"/>
  <c r="U15"/>
  <c r="V15"/>
  <c r="T15"/>
  <c r="B55"/>
  <c r="B58" s="1"/>
  <c r="B93" s="1"/>
  <c r="B94" s="1"/>
  <c r="E29"/>
  <c r="E10"/>
  <c r="B38" s="1"/>
  <c r="E20"/>
  <c r="E19"/>
  <c r="E73" l="1"/>
  <c r="B61"/>
  <c r="K59"/>
  <c r="K77" s="1"/>
  <c r="K60"/>
  <c r="N77" s="1"/>
  <c r="P77" s="1"/>
  <c r="K38"/>
  <c r="M38" s="1"/>
  <c r="K55"/>
  <c r="K86"/>
  <c r="K40"/>
  <c r="B60"/>
  <c r="B59"/>
  <c r="B80" s="1"/>
  <c r="B31"/>
  <c r="D38"/>
  <c r="B40"/>
  <c r="B87" s="1"/>
  <c r="B92" l="1"/>
  <c r="B95" s="1"/>
  <c r="B96" s="1"/>
  <c r="B62"/>
  <c r="B63" s="1"/>
  <c r="K88"/>
  <c r="K87"/>
  <c r="M40"/>
  <c r="K43"/>
  <c r="K80" s="1"/>
  <c r="K84"/>
  <c r="K46"/>
  <c r="K48" s="1"/>
  <c r="E80"/>
  <c r="G80" s="1"/>
  <c r="B46"/>
  <c r="B48" s="1"/>
  <c r="D40"/>
  <c r="B43"/>
  <c r="B83" s="1"/>
  <c r="K89" l="1"/>
  <c r="K92" s="1"/>
  <c r="K90"/>
  <c r="K91" s="1"/>
  <c r="K93" l="1"/>
</calcChain>
</file>

<file path=xl/sharedStrings.xml><?xml version="1.0" encoding="utf-8"?>
<sst xmlns="http://schemas.openxmlformats.org/spreadsheetml/2006/main" count="352" uniqueCount="135">
  <si>
    <t>Roma</t>
  </si>
  <si>
    <t>TE</t>
  </si>
  <si>
    <t>UR</t>
  </si>
  <si>
    <t>%</t>
  </si>
  <si>
    <t>Qp s</t>
  </si>
  <si>
    <t>w</t>
  </si>
  <si>
    <t>Qp lat</t>
  </si>
  <si>
    <t>TA</t>
  </si>
  <si>
    <t>°C</t>
  </si>
  <si>
    <t>Qs tot</t>
  </si>
  <si>
    <t>Ql tot</t>
  </si>
  <si>
    <t>Potenza termica</t>
  </si>
  <si>
    <t>Num. Persone</t>
  </si>
  <si>
    <t>Kg vap/s</t>
  </si>
  <si>
    <t>g / h</t>
  </si>
  <si>
    <t>Dal diagramma psicormetrico ricavo</t>
  </si>
  <si>
    <t>g/Kg as</t>
  </si>
  <si>
    <t>Kg/s</t>
  </si>
  <si>
    <t>psat A</t>
  </si>
  <si>
    <t>Kg vap/Kg as</t>
  </si>
  <si>
    <t>hA</t>
  </si>
  <si>
    <t>KJ</t>
  </si>
  <si>
    <t>Qtotale</t>
  </si>
  <si>
    <t>psat I</t>
  </si>
  <si>
    <t>F. carico</t>
  </si>
  <si>
    <t>h I</t>
  </si>
  <si>
    <t>UR I</t>
  </si>
  <si>
    <t>Kg/Kg as</t>
  </si>
  <si>
    <t>L'entalpia del punto di immissione vale quindi:</t>
  </si>
  <si>
    <t>entalpia hi =</t>
  </si>
  <si>
    <t>KJ/kg</t>
  </si>
  <si>
    <t>w I</t>
  </si>
  <si>
    <t>wA</t>
  </si>
  <si>
    <t>Pa</t>
  </si>
  <si>
    <t>Pot. luci e macch.</t>
  </si>
  <si>
    <t>Fisso dati ambiente da climatizzare</t>
  </si>
  <si>
    <t>Calcolo carichi termici totali</t>
  </si>
  <si>
    <t>SOLUZIONE GRAFICA</t>
  </si>
  <si>
    <t>SOLUZIONE ANALITICA</t>
  </si>
  <si>
    <t>Tema ESAME Impianti del 2015</t>
  </si>
  <si>
    <t>IMPIANTO DI CLIMATIZZAZIONE ESTIVO UFFICI</t>
  </si>
  <si>
    <t>m vap.</t>
  </si>
  <si>
    <t>m vap. tot.</t>
  </si>
  <si>
    <t xml:space="preserve"> attività moderata da seduti uffici</t>
  </si>
  <si>
    <r>
      <t xml:space="preserve">Nota la portata m di aria ricavo </t>
    </r>
    <r>
      <rPr>
        <sz val="11"/>
        <color theme="1"/>
        <rFont val="Calibri"/>
        <family val="2"/>
      </rPr>
      <t>Δ</t>
    </r>
    <r>
      <rPr>
        <sz val="11"/>
        <color theme="1"/>
        <rFont val="Calibri"/>
        <family val="2"/>
        <scheme val="minor"/>
      </rPr>
      <t>w di vapore immesso dalle persone da abbattere per avere wA</t>
    </r>
  </si>
  <si>
    <t>wI= wA-Δw =</t>
  </si>
  <si>
    <t>h = (1,006+1,805*w) *T + 2501*w    [kJ/kg]</t>
  </si>
  <si>
    <t>p vapore</t>
  </si>
  <si>
    <t>L'umidità relativa di conseguenza vale</t>
  </si>
  <si>
    <t>UR = pv / psat *100</t>
  </si>
  <si>
    <t>Ogni Kg as immessa in I deve assorbire 0,35 g di vapore per mantenere la wA. Quindi:</t>
  </si>
  <si>
    <t>Δw = m vap. / m as</t>
  </si>
  <si>
    <t>Temp. immissione I</t>
  </si>
  <si>
    <t>Calcolo della portata di immissione I noto il  Δh calcolato o da diagramma:</t>
  </si>
  <si>
    <t xml:space="preserve">Dalla  Q lat. = mvap* hv = mvap*( 2501 + 1,805 T)   [kJ/kg] </t>
  </si>
  <si>
    <t>w devo trovare m vapore equivalente</t>
  </si>
  <si>
    <t>Ricambio minimo aria</t>
  </si>
  <si>
    <t>A persona</t>
  </si>
  <si>
    <t>l/s</t>
  </si>
  <si>
    <t>m3/h</t>
  </si>
  <si>
    <t>Kg/h</t>
  </si>
  <si>
    <t>N. persone</t>
  </si>
  <si>
    <t>Portata aria = Qtot/Dh</t>
  </si>
  <si>
    <t>ma Portata aria tot.</t>
  </si>
  <si>
    <t>m ric.</t>
  </si>
  <si>
    <t>m rinn.</t>
  </si>
  <si>
    <t>Punto di miscelazione fra aria rinnovo e aria ricircolo</t>
  </si>
  <si>
    <t>Kj/kg</t>
  </si>
  <si>
    <t>Kg v / Kg as</t>
  </si>
  <si>
    <t>m tot</t>
  </si>
  <si>
    <r>
      <t xml:space="preserve">Assumo </t>
    </r>
    <r>
      <rPr>
        <b/>
        <sz val="11"/>
        <color rgb="FFFF0000"/>
        <rFont val="Calibri"/>
        <family val="2"/>
        <scheme val="minor"/>
      </rPr>
      <t>ΔT</t>
    </r>
    <r>
      <rPr>
        <sz val="11"/>
        <color theme="1"/>
        <rFont val="Calibri"/>
        <family val="2"/>
        <scheme val="minor"/>
      </rPr>
      <t xml:space="preserve"> immissione di 7°C e traccio retta ambiente sul diagramma psicrometrico:</t>
    </r>
  </si>
  <si>
    <t>TF</t>
  </si>
  <si>
    <t>Batteria fredda</t>
  </si>
  <si>
    <t>p sat = 0,0496965*T^3+0,979515*T^2+46,9035*T+609,484</t>
  </si>
  <si>
    <t>TB</t>
  </si>
  <si>
    <t>wB</t>
  </si>
  <si>
    <t>hB</t>
  </si>
  <si>
    <t>UR B</t>
  </si>
  <si>
    <t>Fattore BF</t>
  </si>
  <si>
    <t>Potenza raffreddamento</t>
  </si>
  <si>
    <t>P f = m * (hM - hB) =</t>
  </si>
  <si>
    <t>Potenza post riscaldamento</t>
  </si>
  <si>
    <t>P r = m * (hI - hB)=</t>
  </si>
  <si>
    <t>Kw</t>
  </si>
  <si>
    <t>Portata ascqua condensata</t>
  </si>
  <si>
    <t>m H2O =</t>
  </si>
  <si>
    <t>TM misc</t>
  </si>
  <si>
    <t>hM misc</t>
  </si>
  <si>
    <t>wM misc</t>
  </si>
  <si>
    <t>psat F</t>
  </si>
  <si>
    <t>UR F</t>
  </si>
  <si>
    <t>wF</t>
  </si>
  <si>
    <t>hF</t>
  </si>
  <si>
    <t>Uscita dalla batteria fredda (dal diagramma)</t>
  </si>
  <si>
    <t>dalla BG= (TB-TF)/(TM-TF)</t>
  </si>
  <si>
    <r>
      <t xml:space="preserve">Trovo la portata di immissione dal   </t>
    </r>
    <r>
      <rPr>
        <i/>
        <sz val="11"/>
        <color rgb="FFFF0000"/>
        <rFont val="Calibri"/>
        <family val="2"/>
        <scheme val="minor"/>
      </rPr>
      <t>Qs totale = m Ct (Ta-Ti)  [w]</t>
    </r>
  </si>
  <si>
    <r>
      <t xml:space="preserve">La pressione del vapore nell'aria vale si ricava dalla  </t>
    </r>
    <r>
      <rPr>
        <i/>
        <sz val="11"/>
        <color rgb="FFFF0000"/>
        <rFont val="Calibri"/>
        <family val="2"/>
        <scheme val="minor"/>
      </rPr>
      <t>w = 0,622 * pv / (p-pv)</t>
    </r>
  </si>
  <si>
    <r>
      <t xml:space="preserve">KJ    </t>
    </r>
    <r>
      <rPr>
        <sz val="11"/>
        <color rgb="FFFF0000"/>
        <rFont val="Calibri"/>
        <family val="2"/>
        <scheme val="minor"/>
      </rPr>
      <t xml:space="preserve"> </t>
    </r>
    <r>
      <rPr>
        <i/>
        <sz val="11"/>
        <color rgb="FFFF0000"/>
        <rFont val="Calibri"/>
        <family val="2"/>
        <scheme val="minor"/>
      </rPr>
      <t>h = 1,006*T+w*(2501+1,87*T)</t>
    </r>
  </si>
  <si>
    <t>Portata di aria raffreddata nota la wB = wI</t>
  </si>
  <si>
    <t>wB = wI =</t>
  </si>
  <si>
    <t>wE</t>
  </si>
  <si>
    <t>hE</t>
  </si>
  <si>
    <t>psat E</t>
  </si>
  <si>
    <r>
      <t xml:space="preserve">Kg vap/Kg as    </t>
    </r>
    <r>
      <rPr>
        <sz val="11"/>
        <color rgb="FFFF0000"/>
        <rFont val="Calibri"/>
        <family val="2"/>
        <scheme val="minor"/>
      </rPr>
      <t>UR=pv/ps *100</t>
    </r>
  </si>
  <si>
    <r>
      <t xml:space="preserve">Pa                       </t>
    </r>
    <r>
      <rPr>
        <sz val="11"/>
        <color rgb="FFFF0000"/>
        <rFont val="Calibri"/>
        <family val="2"/>
        <scheme val="minor"/>
      </rPr>
      <t>w = 0,622 * pv / (p-pv)</t>
    </r>
  </si>
  <si>
    <t>Fisso BF tentativo =</t>
  </si>
  <si>
    <t>mM</t>
  </si>
  <si>
    <t>mF  raffreddata</t>
  </si>
  <si>
    <t>mM non raffreddata</t>
  </si>
  <si>
    <t>Kg</t>
  </si>
  <si>
    <t>psat B</t>
  </si>
  <si>
    <t>pv B</t>
  </si>
  <si>
    <t>g/Kgas</t>
  </si>
  <si>
    <t>Kg/Kgas   x miscelazione</t>
  </si>
  <si>
    <t>m1</t>
  </si>
  <si>
    <t>m2</t>
  </si>
  <si>
    <t>wM</t>
  </si>
  <si>
    <t>MISCELAZIONE</t>
  </si>
  <si>
    <t>A</t>
  </si>
  <si>
    <t>B</t>
  </si>
  <si>
    <t>psicr.</t>
  </si>
  <si>
    <t>???</t>
  </si>
  <si>
    <t>Formule empiriche calcolo della pressione saturazione</t>
  </si>
  <si>
    <t>pvap M</t>
  </si>
  <si>
    <t>controllare formula per w specifica e sulla curva di saturazione se la psat è corretta</t>
  </si>
  <si>
    <t xml:space="preserve">Dalla  Q lat. = mvap* hv = mvap*( 2501 + 1,805 T)   [Kw] </t>
  </si>
  <si>
    <r>
      <t xml:space="preserve">Pa   </t>
    </r>
    <r>
      <rPr>
        <sz val="11"/>
        <color rgb="FFFF0000"/>
        <rFont val="Calibri"/>
        <family val="2"/>
        <scheme val="minor"/>
      </rPr>
      <t>w = 0,622 * pv / (p-pv) = 0,622* UR*ps/100 / (p-UR*ps/100)</t>
    </r>
  </si>
  <si>
    <r>
      <t xml:space="preserve">KJ    </t>
    </r>
    <r>
      <rPr>
        <sz val="11"/>
        <color rgb="FFFF0000"/>
        <rFont val="Calibri"/>
        <family val="2"/>
        <scheme val="minor"/>
      </rPr>
      <t xml:space="preserve"> </t>
    </r>
    <r>
      <rPr>
        <i/>
        <sz val="11"/>
        <color rgb="FFFF0000"/>
        <rFont val="Calibri"/>
        <family val="2"/>
        <scheme val="minor"/>
      </rPr>
      <t>h = 1,006*T+w*(2501+1,805*T)     [Kj]</t>
    </r>
  </si>
  <si>
    <r>
      <t xml:space="preserve">Kg vap/Kg as    </t>
    </r>
    <r>
      <rPr>
        <sz val="11"/>
        <color rgb="FFFF0000"/>
        <rFont val="Calibri"/>
        <family val="2"/>
        <scheme val="minor"/>
      </rPr>
      <t>UR= pv/ps *100  %</t>
    </r>
  </si>
  <si>
    <r>
      <t xml:space="preserve">Trovo la portata di immissione dal   </t>
    </r>
    <r>
      <rPr>
        <i/>
        <sz val="11"/>
        <color rgb="FFFF0000"/>
        <rFont val="Calibri"/>
        <family val="2"/>
        <scheme val="minor"/>
      </rPr>
      <t>Qs totale = m Ct (Ta-Ti)  [w]  con   Ct aria= 1006 j/kg k</t>
    </r>
  </si>
  <si>
    <t>UR I = pv / psat *100</t>
  </si>
  <si>
    <r>
      <t xml:space="preserve">Pa       </t>
    </r>
    <r>
      <rPr>
        <sz val="11"/>
        <color rgb="FFFF0000"/>
        <rFont val="Calibri"/>
        <family val="2"/>
        <scheme val="minor"/>
      </rPr>
      <t>pv = p * w / (0,622+ w)</t>
    </r>
  </si>
  <si>
    <t>Port. Rinnovo</t>
  </si>
  <si>
    <t>Portata acqua condensata fra M--&gt;B</t>
  </si>
  <si>
    <t>Punto di miscelazione fra aria rinnovo E e aria ricircolo A</t>
  </si>
</sst>
</file>

<file path=xl/styles.xml><?xml version="1.0" encoding="utf-8"?>
<styleSheet xmlns="http://schemas.openxmlformats.org/spreadsheetml/2006/main">
  <numFmts count="5">
    <numFmt numFmtId="164" formatCode="0.0"/>
    <numFmt numFmtId="165" formatCode="0.00000"/>
    <numFmt numFmtId="166" formatCode="0.000"/>
    <numFmt numFmtId="167" formatCode="0.0000"/>
    <numFmt numFmtId="168" formatCode="0.000000"/>
  </numFmts>
  <fonts count="6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i/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0" fillId="2" borderId="0" xfId="0" applyFill="1"/>
    <xf numFmtId="164" fontId="0" fillId="2" borderId="0" xfId="0" applyNumberFormat="1" applyFill="1"/>
    <xf numFmtId="1" fontId="0" fillId="2" borderId="0" xfId="0" applyNumberFormat="1" applyFill="1"/>
    <xf numFmtId="0" fontId="0" fillId="2" borderId="0" xfId="0" applyFill="1" applyAlignment="1">
      <alignment horizontal="right"/>
    </xf>
    <xf numFmtId="2" fontId="0" fillId="2" borderId="0" xfId="0" applyNumberFormat="1" applyFill="1"/>
    <xf numFmtId="2" fontId="0" fillId="3" borderId="0" xfId="0" applyNumberFormat="1" applyFill="1"/>
    <xf numFmtId="0" fontId="0" fillId="3" borderId="0" xfId="0" applyFill="1"/>
    <xf numFmtId="165" fontId="0" fillId="3" borderId="0" xfId="0" applyNumberFormat="1" applyFill="1"/>
    <xf numFmtId="166" fontId="0" fillId="2" borderId="0" xfId="0" applyNumberFormat="1" applyFill="1"/>
    <xf numFmtId="1" fontId="0" fillId="3" borderId="0" xfId="0" applyNumberFormat="1" applyFill="1"/>
    <xf numFmtId="0" fontId="4" fillId="2" borderId="0" xfId="0" applyFont="1" applyFill="1"/>
    <xf numFmtId="0" fontId="0" fillId="4" borderId="0" xfId="0" applyFill="1"/>
    <xf numFmtId="164" fontId="0" fillId="3" borderId="0" xfId="0" applyNumberFormat="1" applyFill="1"/>
    <xf numFmtId="0" fontId="1" fillId="2" borderId="0" xfId="0" applyFont="1" applyFill="1"/>
    <xf numFmtId="16" fontId="0" fillId="2" borderId="0" xfId="0" applyNumberFormat="1" applyFill="1"/>
    <xf numFmtId="0" fontId="0" fillId="5" borderId="0" xfId="0" applyFill="1"/>
    <xf numFmtId="167" fontId="0" fillId="3" borderId="0" xfId="0" applyNumberFormat="1" applyFill="1"/>
    <xf numFmtId="165" fontId="0" fillId="2" borderId="0" xfId="0" applyNumberFormat="1" applyFill="1"/>
    <xf numFmtId="0" fontId="0" fillId="2" borderId="1" xfId="0" applyFill="1" applyBorder="1"/>
    <xf numFmtId="164" fontId="0" fillId="2" borderId="1" xfId="0" applyNumberFormat="1" applyFill="1" applyBorder="1"/>
    <xf numFmtId="2" fontId="0" fillId="2" borderId="1" xfId="0" applyNumberFormat="1" applyFill="1" applyBorder="1"/>
    <xf numFmtId="0" fontId="0" fillId="2" borderId="0" xfId="0" applyFill="1" applyBorder="1"/>
    <xf numFmtId="0" fontId="0" fillId="3" borderId="1" xfId="0" applyFill="1" applyBorder="1"/>
    <xf numFmtId="2" fontId="0" fillId="3" borderId="1" xfId="0" applyNumberFormat="1" applyFill="1" applyBorder="1"/>
    <xf numFmtId="166" fontId="0" fillId="2" borderId="1" xfId="0" applyNumberFormat="1" applyFill="1" applyBorder="1"/>
    <xf numFmtId="0" fontId="0" fillId="5" borderId="1" xfId="0" applyFill="1" applyBorder="1"/>
    <xf numFmtId="164" fontId="0" fillId="5" borderId="1" xfId="0" applyNumberFormat="1" applyFill="1" applyBorder="1"/>
    <xf numFmtId="166" fontId="0" fillId="5" borderId="1" xfId="0" applyNumberFormat="1" applyFill="1" applyBorder="1"/>
    <xf numFmtId="2" fontId="0" fillId="5" borderId="1" xfId="0" applyNumberFormat="1" applyFill="1" applyBorder="1"/>
    <xf numFmtId="2" fontId="0" fillId="5" borderId="0" xfId="0" applyNumberFormat="1" applyFill="1"/>
    <xf numFmtId="164" fontId="0" fillId="3" borderId="0" xfId="0" applyNumberFormat="1" applyFill="1" applyBorder="1"/>
    <xf numFmtId="0" fontId="0" fillId="6" borderId="0" xfId="0" applyFill="1"/>
    <xf numFmtId="168" fontId="0" fillId="3" borderId="0" xfId="0" applyNumberFormat="1" applyFill="1"/>
    <xf numFmtId="167" fontId="0" fillId="2" borderId="0" xfId="0" applyNumberFormat="1" applyFill="1"/>
  </cellXfs>
  <cellStyles count="1"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708986</xdr:colOff>
      <xdr:row>56</xdr:row>
      <xdr:rowOff>48259</xdr:rowOff>
    </xdr:from>
    <xdr:to>
      <xdr:col>6</xdr:col>
      <xdr:colOff>26703</xdr:colOff>
      <xdr:row>64</xdr:row>
      <xdr:rowOff>178257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98753" y="10529992"/>
          <a:ext cx="1595250" cy="1620132"/>
        </a:xfrm>
        <a:prstGeom prst="rect">
          <a:avLst/>
        </a:prstGeom>
        <a:noFill/>
        <a:ln w="1">
          <a:solidFill>
            <a:srgbClr val="FF0000"/>
          </a:solidFill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13</xdr:col>
      <xdr:colOff>111760</xdr:colOff>
      <xdr:row>56</xdr:row>
      <xdr:rowOff>162560</xdr:rowOff>
    </xdr:from>
    <xdr:to>
      <xdr:col>14</xdr:col>
      <xdr:colOff>571636</xdr:colOff>
      <xdr:row>64</xdr:row>
      <xdr:rowOff>0</xdr:rowOff>
    </xdr:to>
    <xdr:pic>
      <xdr:nvPicPr>
        <xdr:cNvPr id="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73120" y="10596880"/>
          <a:ext cx="1292997" cy="1300480"/>
        </a:xfrm>
        <a:prstGeom prst="rect">
          <a:avLst/>
        </a:prstGeom>
        <a:noFill/>
        <a:ln w="1">
          <a:solidFill>
            <a:srgbClr val="FF0000"/>
          </a:solidFill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806963</xdr:colOff>
      <xdr:row>101</xdr:row>
      <xdr:rowOff>10160</xdr:rowOff>
    </xdr:from>
    <xdr:to>
      <xdr:col>6</xdr:col>
      <xdr:colOff>515734</xdr:colOff>
      <xdr:row>115</xdr:row>
      <xdr:rowOff>40640</xdr:rowOff>
    </xdr:to>
    <xdr:pic>
      <xdr:nvPicPr>
        <xdr:cNvPr id="8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06963" y="18674080"/>
          <a:ext cx="4719605" cy="2590801"/>
        </a:xfrm>
        <a:prstGeom prst="rect">
          <a:avLst/>
        </a:prstGeom>
        <a:noFill/>
        <a:ln w="1">
          <a:solidFill>
            <a:srgbClr val="FF0000"/>
          </a:solidFill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30480</xdr:colOff>
      <xdr:row>115</xdr:row>
      <xdr:rowOff>91441</xdr:rowOff>
    </xdr:from>
    <xdr:to>
      <xdr:col>8</xdr:col>
      <xdr:colOff>302783</xdr:colOff>
      <xdr:row>132</xdr:row>
      <xdr:rowOff>27971</xdr:rowOff>
    </xdr:to>
    <xdr:pic>
      <xdr:nvPicPr>
        <xdr:cNvPr id="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0480" y="21315681"/>
          <a:ext cx="6503314" cy="3045489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E99"/>
  <sheetViews>
    <sheetView tabSelected="1" topLeftCell="A48" zoomScale="150" zoomScaleNormal="150" workbookViewId="0">
      <selection activeCell="A58" sqref="A58"/>
    </sheetView>
  </sheetViews>
  <sheetFormatPr defaultRowHeight="14.5"/>
  <cols>
    <col min="1" max="1" width="20" customWidth="1"/>
    <col min="3" max="3" width="11.1796875" customWidth="1"/>
    <col min="4" max="4" width="12.08984375" customWidth="1"/>
    <col min="5" max="5" width="11.7265625" customWidth="1"/>
    <col min="9" max="9" width="137.1796875" customWidth="1"/>
    <col min="10" max="10" width="17.6328125" customWidth="1"/>
    <col min="13" max="13" width="10.36328125" customWidth="1"/>
    <col min="14" max="14" width="12.453125" bestFit="1" customWidth="1"/>
    <col min="18" max="18" width="11.36328125" bestFit="1" customWidth="1"/>
    <col min="19" max="19" width="5.6328125" customWidth="1"/>
    <col min="20" max="20" width="8" customWidth="1"/>
    <col min="21" max="21" width="7.54296875" customWidth="1"/>
    <col min="22" max="22" width="8.54296875" customWidth="1"/>
    <col min="23" max="23" width="8.453125" customWidth="1"/>
    <col min="24" max="24" width="8.54296875" customWidth="1"/>
    <col min="25" max="26" width="8" customWidth="1"/>
    <col min="27" max="27" width="8.08984375" customWidth="1"/>
  </cols>
  <sheetData>
    <row r="1" spans="1:31">
      <c r="A1" s="1" t="s">
        <v>39</v>
      </c>
      <c r="B1" s="2"/>
      <c r="C1" s="2"/>
      <c r="D1" s="2"/>
      <c r="E1" s="2"/>
      <c r="F1" s="2"/>
      <c r="G1" s="2"/>
      <c r="H1" s="2"/>
      <c r="I1" s="2"/>
      <c r="J1" s="1" t="s">
        <v>39</v>
      </c>
      <c r="K1" s="2"/>
      <c r="L1" s="2"/>
      <c r="M1" s="2"/>
      <c r="N1" s="2"/>
      <c r="O1" s="2"/>
      <c r="P1" s="2"/>
      <c r="Q1" s="2"/>
      <c r="R1" s="2"/>
      <c r="S1" s="1" t="s">
        <v>122</v>
      </c>
      <c r="U1" s="2"/>
      <c r="V1" s="2"/>
      <c r="W1" s="2"/>
      <c r="X1" s="2"/>
      <c r="Y1" s="2"/>
      <c r="Z1" s="2"/>
      <c r="AA1" s="2"/>
      <c r="AB1" s="2"/>
      <c r="AC1" s="2"/>
      <c r="AD1" s="2"/>
    </row>
    <row r="2" spans="1:31" ht="14.4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</row>
    <row r="3" spans="1:31" ht="13.75" customHeight="1">
      <c r="A3" s="1" t="s">
        <v>40</v>
      </c>
      <c r="B3" s="2"/>
      <c r="C3" s="2"/>
      <c r="D3" s="2"/>
      <c r="E3" s="2"/>
      <c r="F3" s="2"/>
      <c r="G3" s="2"/>
      <c r="H3" s="2"/>
      <c r="I3" s="2"/>
      <c r="J3" s="1" t="s">
        <v>40</v>
      </c>
      <c r="K3" s="2"/>
      <c r="L3" s="2"/>
      <c r="M3" s="2"/>
      <c r="N3" s="2"/>
      <c r="O3" s="2"/>
      <c r="P3" s="2"/>
      <c r="Q3" s="2"/>
      <c r="R3" s="2"/>
      <c r="S3" s="2"/>
      <c r="T3" s="2" t="s">
        <v>118</v>
      </c>
      <c r="U3" s="2"/>
      <c r="V3" s="2"/>
      <c r="W3" s="2"/>
      <c r="X3" s="2" t="s">
        <v>120</v>
      </c>
      <c r="Y3" s="2" t="s">
        <v>119</v>
      </c>
      <c r="Z3" s="2"/>
      <c r="AA3" s="2"/>
      <c r="AB3" s="2"/>
      <c r="AC3" s="2" t="s">
        <v>120</v>
      </c>
      <c r="AD3" s="2"/>
      <c r="AE3" s="2"/>
    </row>
    <row r="4" spans="1:31">
      <c r="A4" s="2" t="s">
        <v>0</v>
      </c>
      <c r="B4" s="2"/>
      <c r="C4" s="2"/>
      <c r="D4" s="2" t="s">
        <v>12</v>
      </c>
      <c r="E4" s="2">
        <v>120</v>
      </c>
      <c r="F4" s="2" t="s">
        <v>43</v>
      </c>
      <c r="G4" s="2"/>
      <c r="H4" s="2"/>
      <c r="I4" s="2"/>
      <c r="J4" s="2" t="s">
        <v>0</v>
      </c>
      <c r="K4" s="2"/>
      <c r="L4" s="2"/>
      <c r="M4" s="2" t="s">
        <v>12</v>
      </c>
      <c r="N4" s="2">
        <v>120</v>
      </c>
      <c r="O4" s="2" t="s">
        <v>43</v>
      </c>
      <c r="P4" s="2"/>
      <c r="Q4" s="2"/>
      <c r="R4" s="2"/>
      <c r="S4" s="2"/>
      <c r="T4" s="20">
        <v>25</v>
      </c>
      <c r="U4" s="27">
        <v>25</v>
      </c>
      <c r="V4" s="20">
        <v>25</v>
      </c>
      <c r="W4" s="20">
        <v>25</v>
      </c>
      <c r="X4" s="24">
        <v>25</v>
      </c>
      <c r="Y4" s="20">
        <v>42.3</v>
      </c>
      <c r="Z4" s="27">
        <v>42.3</v>
      </c>
      <c r="AA4" s="20">
        <v>42.3</v>
      </c>
      <c r="AB4" s="20">
        <v>42.3</v>
      </c>
      <c r="AC4" s="24">
        <v>42.3</v>
      </c>
      <c r="AD4" s="2"/>
      <c r="AE4" s="2"/>
    </row>
    <row r="5" spans="1:31">
      <c r="A5" s="2" t="s">
        <v>1</v>
      </c>
      <c r="B5" s="2">
        <v>33</v>
      </c>
      <c r="C5" s="2" t="s">
        <v>8</v>
      </c>
      <c r="D5" t="s">
        <v>132</v>
      </c>
      <c r="E5">
        <v>7.5</v>
      </c>
      <c r="F5" s="2" t="s">
        <v>58</v>
      </c>
      <c r="G5">
        <f>E5*3.6</f>
        <v>27</v>
      </c>
      <c r="H5" t="s">
        <v>59</v>
      </c>
      <c r="I5" s="2"/>
      <c r="J5" s="2" t="s">
        <v>1</v>
      </c>
      <c r="K5" s="2">
        <v>33</v>
      </c>
      <c r="L5" s="2" t="s">
        <v>8</v>
      </c>
      <c r="M5" s="2" t="s">
        <v>4</v>
      </c>
      <c r="N5" s="2">
        <v>70</v>
      </c>
      <c r="O5" s="2" t="s">
        <v>5</v>
      </c>
      <c r="P5" s="2"/>
      <c r="Q5" s="2"/>
      <c r="R5" s="2"/>
      <c r="S5" s="2"/>
      <c r="T5" s="20">
        <v>30</v>
      </c>
      <c r="U5" s="27">
        <v>30</v>
      </c>
      <c r="V5" s="20">
        <v>30</v>
      </c>
      <c r="W5" s="20">
        <v>30</v>
      </c>
      <c r="X5" s="24">
        <v>30</v>
      </c>
      <c r="Y5" s="20">
        <v>30</v>
      </c>
      <c r="Z5" s="27">
        <v>30</v>
      </c>
      <c r="AA5" s="20">
        <v>30</v>
      </c>
      <c r="AB5" s="20">
        <v>30</v>
      </c>
      <c r="AC5" s="24">
        <v>30</v>
      </c>
      <c r="AD5" s="2"/>
      <c r="AE5" s="2"/>
    </row>
    <row r="6" spans="1:31">
      <c r="A6" s="2" t="s">
        <v>2</v>
      </c>
      <c r="B6" s="2">
        <v>45</v>
      </c>
      <c r="C6" s="2" t="s">
        <v>3</v>
      </c>
      <c r="D6" s="2" t="s">
        <v>4</v>
      </c>
      <c r="E6" s="2">
        <v>70</v>
      </c>
      <c r="F6" s="2" t="s">
        <v>5</v>
      </c>
      <c r="G6" s="2"/>
      <c r="H6" s="2"/>
      <c r="I6" s="2"/>
      <c r="J6" s="2" t="s">
        <v>2</v>
      </c>
      <c r="K6" s="2">
        <v>45</v>
      </c>
      <c r="L6" s="2" t="s">
        <v>3</v>
      </c>
      <c r="M6" s="2" t="s">
        <v>6</v>
      </c>
      <c r="N6" s="2">
        <v>45</v>
      </c>
      <c r="O6" s="2" t="s">
        <v>55</v>
      </c>
      <c r="P6" s="2"/>
      <c r="Q6" s="2"/>
      <c r="R6" s="2"/>
      <c r="S6" s="2"/>
      <c r="T6" s="21">
        <f>0.0496965*T4^3+0.979515*T4^2+46.9035*T4+609.484</f>
        <v>3170.7761875000001</v>
      </c>
      <c r="U6" s="28">
        <f>6.112*EXP(17.67*U4/(243.5+U4))*100</f>
        <v>3167.4294361872849</v>
      </c>
      <c r="V6" s="21">
        <f>6.11*10^(7.5*V4/(237.7+V4))*100</f>
        <v>3160.6988699741428</v>
      </c>
      <c r="W6" s="3">
        <f>EXP((17.438*W4)/(239.78+W4)+6.4147)</f>
        <v>3168.9678455612338</v>
      </c>
      <c r="X6" s="24"/>
      <c r="Y6" s="21">
        <f>0.0496965*Y4^3+0.979515*Y4^2+46.9035*Y4+609.484</f>
        <v>8107.5157998654995</v>
      </c>
      <c r="Z6" s="28">
        <f>6.112*EXP(17.67*Z4/(243.5+Z4))*100</f>
        <v>8355.5658126237868</v>
      </c>
      <c r="AA6" s="21">
        <f>6.11*10^(7.5*AA4/(237.7+AA4))*100</f>
        <v>8299.9776807577491</v>
      </c>
      <c r="AB6" s="3">
        <f>EXP((17.438*AB4)/(239.78+AB4)+6.4147)</f>
        <v>8347.0058098887712</v>
      </c>
      <c r="AC6" s="24"/>
      <c r="AD6" s="2"/>
      <c r="AE6" s="2"/>
    </row>
    <row r="7" spans="1:31">
      <c r="A7" s="2" t="s">
        <v>102</v>
      </c>
      <c r="B7" s="11">
        <f>0.0496965*B5^3+0.979515*B5^2+46.9035*B5+609.484</f>
        <v>5009.9344554999998</v>
      </c>
      <c r="C7" s="2" t="s">
        <v>33</v>
      </c>
      <c r="D7" s="2" t="s">
        <v>6</v>
      </c>
      <c r="E7" s="2">
        <v>45</v>
      </c>
      <c r="F7" s="2" t="s">
        <v>55</v>
      </c>
      <c r="G7" s="2"/>
      <c r="H7" s="2"/>
      <c r="I7" s="2"/>
      <c r="J7" s="2" t="s">
        <v>102</v>
      </c>
      <c r="K7" s="28">
        <f>6.112*EXP(17.67*K5/(243.5+K5))*100</f>
        <v>5035.7671837845728</v>
      </c>
      <c r="L7" s="2" t="s">
        <v>33</v>
      </c>
      <c r="M7" s="12" t="s">
        <v>54</v>
      </c>
      <c r="N7" s="15"/>
      <c r="O7" s="15"/>
      <c r="P7" s="2"/>
      <c r="Q7" s="2"/>
      <c r="R7" s="2"/>
      <c r="S7" s="2"/>
      <c r="T7" s="26">
        <f>1000*0.622*T5/100*T6/(101325-T5/100*T6)</f>
        <v>5.8946361526926259</v>
      </c>
      <c r="U7" s="29">
        <f>1000*0.622*U5/100*U6/(101325-U5/100*U6)</f>
        <v>5.8883554692898716</v>
      </c>
      <c r="V7" s="26">
        <f>1000*0.622*V5/100*V6/(101325-V5/100*V6)</f>
        <v>5.8757249274982666</v>
      </c>
      <c r="W7" s="26">
        <f>1000*0.622*W5/100*W6/(101325-W5/100*W6)</f>
        <v>5.8912425108105086</v>
      </c>
      <c r="X7" s="25">
        <v>5.95</v>
      </c>
      <c r="Y7" s="22">
        <f>1000*0.622*Y5/100*Y6/(101325-Y5/100*Y6)</f>
        <v>15.2980124505271</v>
      </c>
      <c r="Z7" s="30">
        <f>1000*0.622*Z5/100*Z6/(101325-Z5/100*Z6)</f>
        <v>15.777928817387323</v>
      </c>
      <c r="AA7" s="22">
        <f>1000*0.622*AA5/100*AA6/(101325-AA5/100*AA6)</f>
        <v>15.6703164901555</v>
      </c>
      <c r="AB7" s="22">
        <f>1000*0.622*AB5/100*AB6/(101325-AB5/100*AB6)</f>
        <v>15.761355255788612</v>
      </c>
      <c r="AC7" s="24">
        <v>16</v>
      </c>
      <c r="AD7" s="2"/>
      <c r="AE7" s="2"/>
    </row>
    <row r="8" spans="1:31">
      <c r="A8" s="2" t="s">
        <v>100</v>
      </c>
      <c r="B8" s="18">
        <f>0.622*B6/100*B7/(101325-B6/100*B7)</f>
        <v>1.415436720932099E-2</v>
      </c>
      <c r="C8" s="2" t="s">
        <v>27</v>
      </c>
      <c r="D8" s="12" t="s">
        <v>125</v>
      </c>
      <c r="E8" s="15"/>
      <c r="F8" s="15"/>
      <c r="G8" s="2"/>
      <c r="H8" s="2"/>
      <c r="I8" s="2"/>
      <c r="J8" s="2" t="s">
        <v>100</v>
      </c>
      <c r="K8" s="18">
        <f>0.622*K6/100*K7/(101325-K6/100*K7)</f>
        <v>1.4229020985568521E-2</v>
      </c>
      <c r="L8" s="2" t="s">
        <v>27</v>
      </c>
      <c r="M8" s="2" t="s">
        <v>41</v>
      </c>
      <c r="N8" s="8">
        <f>N6/1000/(2501+1.805*$B$15)</f>
        <v>1.7673916245274681E-5</v>
      </c>
      <c r="O8" s="2" t="s">
        <v>13</v>
      </c>
      <c r="P8" s="3">
        <f>N8*3600*1000</f>
        <v>63.626098482988851</v>
      </c>
      <c r="Q8" s="2" t="s">
        <v>14</v>
      </c>
      <c r="R8" s="2"/>
      <c r="S8" s="2"/>
      <c r="T8" s="22">
        <f>1.006*T4+T7/1000*(2501+1.87*T4)</f>
        <v>40.168059258022637</v>
      </c>
      <c r="U8" s="30">
        <f>1.006*U4+U7/1000*(2501+1.87*U4)</f>
        <v>40.152057646883264</v>
      </c>
      <c r="V8" s="22">
        <f>1.006*V4+V7/1000*(2501+1.87*V4)</f>
        <v>40.119878184033709</v>
      </c>
      <c r="W8" s="22">
        <f>1.006*W4+W7/1000*(2501+1.87*W4)</f>
        <v>40.159413106917469</v>
      </c>
      <c r="X8" s="25">
        <f>9.6*4.186</f>
        <v>40.185600000000001</v>
      </c>
      <c r="Y8" s="22">
        <f>1.006*Y4+Y7/1000*(2501+1.87*Y4)</f>
        <v>82.02421722161742</v>
      </c>
      <c r="Z8" s="30">
        <f>1.006*Z4+Z7/1000*(2501+1.87*Z4)</f>
        <v>83.262449919669848</v>
      </c>
      <c r="AA8" s="22">
        <f>1.006*AA4+AA7/1000*(2501+1.87*AA4)</f>
        <v>82.984799246566695</v>
      </c>
      <c r="AB8" s="22">
        <f>1.006*AB4+AB7/1000*(2501+1.87*AB4)</f>
        <v>83.219688456815447</v>
      </c>
      <c r="AC8" s="24">
        <f>20*4.186</f>
        <v>83.72</v>
      </c>
      <c r="AD8" s="2"/>
      <c r="AE8" s="2"/>
    </row>
    <row r="9" spans="1:31">
      <c r="A9" s="2" t="s">
        <v>101</v>
      </c>
      <c r="B9" s="7">
        <f>1.006*B5+B8*(2501+1.805*B5)</f>
        <v>69.441177273335001</v>
      </c>
      <c r="C9" s="2" t="s">
        <v>21</v>
      </c>
      <c r="D9" s="2" t="s">
        <v>41</v>
      </c>
      <c r="E9" s="8">
        <f>E7/1000/(2501+1.805*$B$15)</f>
        <v>1.7673916245274681E-5</v>
      </c>
      <c r="F9" s="2" t="s">
        <v>13</v>
      </c>
      <c r="G9" s="3">
        <f>E9*3600*1000</f>
        <v>63.626098482988851</v>
      </c>
      <c r="H9" s="2" t="s">
        <v>14</v>
      </c>
      <c r="I9" s="2"/>
      <c r="J9" s="2" t="s">
        <v>101</v>
      </c>
      <c r="K9" s="7">
        <f>1.006*K5+K8*(2501+1.87*K5)</f>
        <v>69.662854369926308</v>
      </c>
      <c r="L9" s="2" t="s">
        <v>21</v>
      </c>
      <c r="M9" s="2" t="s">
        <v>42</v>
      </c>
      <c r="N9" s="8">
        <f>N8*N4</f>
        <v>2.1208699494329616E-3</v>
      </c>
      <c r="O9" s="2" t="s">
        <v>13</v>
      </c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</row>
    <row r="10" spans="1:31" ht="13.25" customHeight="1">
      <c r="A10" s="2"/>
      <c r="B10" s="2"/>
      <c r="C10" s="2"/>
      <c r="D10" s="2" t="s">
        <v>42</v>
      </c>
      <c r="E10" s="34">
        <f>E9*E4</f>
        <v>2.1208699494329616E-3</v>
      </c>
      <c r="F10" s="2" t="s">
        <v>13</v>
      </c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 t="s">
        <v>117</v>
      </c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</row>
    <row r="11" spans="1:31">
      <c r="A11" s="2" t="s">
        <v>11</v>
      </c>
      <c r="B11" s="2">
        <v>22000</v>
      </c>
      <c r="C11" s="2" t="s">
        <v>5</v>
      </c>
      <c r="D11" s="2"/>
      <c r="E11" s="2"/>
      <c r="F11" s="2"/>
      <c r="G11" s="2"/>
      <c r="H11" s="2"/>
      <c r="I11" s="2"/>
      <c r="J11" s="2" t="s">
        <v>11</v>
      </c>
      <c r="K11" s="2">
        <v>22000</v>
      </c>
      <c r="L11" s="2" t="s">
        <v>5</v>
      </c>
      <c r="M11" s="2"/>
      <c r="N11" s="2"/>
      <c r="O11" s="2"/>
      <c r="P11" s="2"/>
      <c r="Q11" s="2"/>
      <c r="R11" s="2"/>
      <c r="S11" s="2" t="s">
        <v>3</v>
      </c>
      <c r="T11" s="2">
        <v>0.5</v>
      </c>
      <c r="U11" s="2">
        <v>0.5</v>
      </c>
      <c r="V11" s="2">
        <v>0.5</v>
      </c>
      <c r="W11" s="2">
        <v>0.5</v>
      </c>
      <c r="X11" s="2">
        <v>0.5</v>
      </c>
      <c r="Y11" s="6"/>
      <c r="Z11" s="2"/>
      <c r="AA11" s="2"/>
      <c r="AB11" s="2"/>
      <c r="AC11" s="2"/>
      <c r="AD11" s="2"/>
      <c r="AE11" s="2"/>
    </row>
    <row r="12" spans="1:31">
      <c r="A12" s="2" t="s">
        <v>34</v>
      </c>
      <c r="B12" s="2">
        <v>12000</v>
      </c>
      <c r="C12" s="2" t="s">
        <v>5</v>
      </c>
      <c r="D12" s="2"/>
      <c r="E12" s="2"/>
      <c r="F12" s="2"/>
      <c r="G12" s="2"/>
      <c r="H12" s="2"/>
      <c r="I12" s="2"/>
      <c r="J12" s="2" t="s">
        <v>34</v>
      </c>
      <c r="K12" s="2">
        <v>12000</v>
      </c>
      <c r="L12" s="2" t="s">
        <v>5</v>
      </c>
      <c r="M12" s="2"/>
      <c r="N12" s="2"/>
      <c r="O12" s="2"/>
      <c r="P12" s="2"/>
      <c r="Q12" s="2"/>
      <c r="R12" s="2"/>
      <c r="S12" s="2" t="s">
        <v>114</v>
      </c>
      <c r="T12" s="2">
        <v>10</v>
      </c>
      <c r="U12" s="2">
        <v>10</v>
      </c>
      <c r="V12" s="2">
        <v>10</v>
      </c>
      <c r="W12" s="2">
        <v>10</v>
      </c>
      <c r="X12" s="2">
        <v>10</v>
      </c>
      <c r="Y12" s="6"/>
      <c r="Z12" s="2"/>
      <c r="AA12" s="2"/>
      <c r="AB12" s="2"/>
      <c r="AC12" s="2"/>
      <c r="AD12" s="2"/>
      <c r="AE12" s="2"/>
    </row>
    <row r="13" spans="1:3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 t="s">
        <v>115</v>
      </c>
      <c r="T13" s="6">
        <f>T12*(1-T11)</f>
        <v>5</v>
      </c>
      <c r="U13" s="6">
        <f>U12*(1-U11)</f>
        <v>5</v>
      </c>
      <c r="V13" s="6">
        <f>V12*(1-V11)</f>
        <v>5</v>
      </c>
      <c r="W13" s="6">
        <f>W12*(1-W11)</f>
        <v>5</v>
      </c>
      <c r="X13" s="6">
        <f>X12*(1-X11)</f>
        <v>5</v>
      </c>
      <c r="Y13" s="6"/>
      <c r="Z13" s="2"/>
      <c r="AA13" s="2"/>
      <c r="AB13" s="2"/>
      <c r="AC13" s="2"/>
      <c r="AD13" s="2"/>
      <c r="AE13" s="2"/>
    </row>
    <row r="14" spans="1:31">
      <c r="A14" s="2" t="s">
        <v>35</v>
      </c>
      <c r="B14" s="2"/>
      <c r="C14" s="2"/>
      <c r="D14" s="12" t="s">
        <v>73</v>
      </c>
      <c r="E14" s="3"/>
      <c r="F14" s="2"/>
      <c r="G14" s="2"/>
      <c r="H14" s="2"/>
      <c r="I14" s="2"/>
      <c r="J14" s="2" t="s">
        <v>35</v>
      </c>
      <c r="K14" s="2"/>
      <c r="L14" s="2"/>
      <c r="M14" s="12" t="s">
        <v>73</v>
      </c>
      <c r="N14" s="3"/>
      <c r="O14" s="2"/>
      <c r="P14" s="2"/>
      <c r="Q14" s="2"/>
      <c r="R14" s="2"/>
      <c r="S14" s="2" t="s">
        <v>106</v>
      </c>
      <c r="T14" s="6">
        <f>T12*T11</f>
        <v>5</v>
      </c>
      <c r="U14" s="6">
        <f>U12*U11</f>
        <v>5</v>
      </c>
      <c r="V14" s="6">
        <f>V12*V11</f>
        <v>5</v>
      </c>
      <c r="W14" s="6">
        <f>W12*W11</f>
        <v>5</v>
      </c>
      <c r="X14" s="6">
        <f>X12*X11</f>
        <v>5</v>
      </c>
      <c r="Y14" s="2"/>
      <c r="Z14" s="2"/>
      <c r="AA14" s="2"/>
      <c r="AB14" s="2"/>
      <c r="AC14" s="2"/>
      <c r="AD14" s="2"/>
      <c r="AE14" s="2"/>
    </row>
    <row r="15" spans="1:31" ht="14.4" customHeight="1">
      <c r="A15" s="2" t="s">
        <v>7</v>
      </c>
      <c r="B15" s="2">
        <v>25</v>
      </c>
      <c r="C15" s="2" t="s">
        <v>8</v>
      </c>
      <c r="D15" s="2" t="s">
        <v>18</v>
      </c>
      <c r="E15" s="11">
        <f>0.0496965*B15^3+0.979515*B15^2+46.9035*B15+609.484</f>
        <v>3170.7761875000001</v>
      </c>
      <c r="F15" s="2" t="s">
        <v>126</v>
      </c>
      <c r="G15" s="2"/>
      <c r="H15" s="2"/>
      <c r="I15" s="2"/>
      <c r="J15" s="2" t="s">
        <v>7</v>
      </c>
      <c r="K15" s="2">
        <v>25</v>
      </c>
      <c r="L15" s="2" t="s">
        <v>8</v>
      </c>
      <c r="M15" s="2" t="s">
        <v>18</v>
      </c>
      <c r="N15" s="28">
        <f>6.112*EXP(17.67*K15/(243.5+K15))*100</f>
        <v>3167.4294361872849</v>
      </c>
      <c r="O15" s="2" t="s">
        <v>104</v>
      </c>
      <c r="P15" s="2"/>
      <c r="Q15" s="2"/>
      <c r="R15" s="2"/>
      <c r="S15" s="23" t="s">
        <v>116</v>
      </c>
      <c r="T15" s="6">
        <f>1000*(T13*T7/1000+T14*Y7/1000)/T12</f>
        <v>10.596324301609862</v>
      </c>
      <c r="U15" s="31">
        <f>1000*(U13*U7/1000+U14*Z7/1000)/U12</f>
        <v>10.833142143338598</v>
      </c>
      <c r="V15" s="6">
        <f>1000*(V13*V7/1000+V14*AA7/1000)/V12</f>
        <v>10.773020708826882</v>
      </c>
      <c r="W15" s="6">
        <f>1000*(W13*W7/1000+W14*AB7/1000)/W12</f>
        <v>10.826298883299559</v>
      </c>
      <c r="X15" s="31">
        <f>1000*(X13*X7/1000+X14*AC7/1000)/X12</f>
        <v>10.975</v>
      </c>
      <c r="Y15" s="2"/>
      <c r="Z15" s="2"/>
      <c r="AA15" s="2"/>
      <c r="AB15" s="2"/>
      <c r="AC15" s="2"/>
      <c r="AD15" s="2"/>
      <c r="AE15" s="2"/>
    </row>
    <row r="16" spans="1:31" ht="14.4" customHeight="1">
      <c r="A16" s="2" t="s">
        <v>2</v>
      </c>
      <c r="B16" s="2">
        <v>50</v>
      </c>
      <c r="C16" s="2" t="s">
        <v>3</v>
      </c>
      <c r="D16" s="2" t="s">
        <v>32</v>
      </c>
      <c r="E16" s="9">
        <f>0.622*B16/100*E15/(101325-B16/100*E15)</f>
        <v>9.8868581445794371E-3</v>
      </c>
      <c r="F16" s="2" t="s">
        <v>128</v>
      </c>
      <c r="G16" s="2"/>
      <c r="H16" s="2"/>
      <c r="I16" s="2"/>
      <c r="J16" s="2" t="s">
        <v>2</v>
      </c>
      <c r="K16" s="2">
        <v>50</v>
      </c>
      <c r="L16" s="2" t="s">
        <v>3</v>
      </c>
      <c r="M16" s="2" t="s">
        <v>32</v>
      </c>
      <c r="N16" s="9">
        <f>0.622*K16/100*N15/(101325-K16/100*N15)</f>
        <v>9.8762568766791615E-3</v>
      </c>
      <c r="O16" s="2" t="s">
        <v>103</v>
      </c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</row>
    <row r="17" spans="1:31" ht="14.4" customHeight="1">
      <c r="A17" s="2"/>
      <c r="B17" s="2"/>
      <c r="C17" s="2"/>
      <c r="D17" s="2" t="s">
        <v>20</v>
      </c>
      <c r="E17" s="7">
        <f>1.006*B15+E16*(2501+1.805*B15)</f>
        <v>50.323176693367316</v>
      </c>
      <c r="F17" s="2" t="s">
        <v>127</v>
      </c>
      <c r="G17" s="2"/>
      <c r="H17" s="2"/>
      <c r="I17" s="2"/>
      <c r="J17" s="2"/>
      <c r="K17" s="2"/>
      <c r="L17" s="2"/>
      <c r="M17" s="2" t="s">
        <v>20</v>
      </c>
      <c r="N17" s="7">
        <f>1.006*K15+N16*(2501+1.87*K15)</f>
        <v>50.31223345755933</v>
      </c>
      <c r="O17" s="2" t="s">
        <v>97</v>
      </c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</row>
    <row r="18" spans="1:31">
      <c r="A18" s="1" t="s">
        <v>36</v>
      </c>
      <c r="B18" s="2"/>
      <c r="C18" s="2"/>
      <c r="D18" s="2"/>
      <c r="E18" s="2"/>
      <c r="F18" s="2"/>
      <c r="G18" s="2"/>
      <c r="H18" s="2"/>
      <c r="I18" s="2"/>
      <c r="J18" s="1" t="s">
        <v>36</v>
      </c>
      <c r="K18" s="2"/>
      <c r="L18" s="2"/>
      <c r="M18" s="2"/>
      <c r="N18" s="2"/>
      <c r="O18" s="2"/>
      <c r="P18" s="2"/>
      <c r="Q18" s="2"/>
      <c r="R18" s="2"/>
      <c r="S18" s="2"/>
      <c r="T18" s="2" t="s">
        <v>118</v>
      </c>
      <c r="U18" s="2"/>
      <c r="V18" s="2"/>
      <c r="W18" s="2"/>
      <c r="X18" s="2" t="s">
        <v>120</v>
      </c>
      <c r="Y18" s="2" t="s">
        <v>119</v>
      </c>
      <c r="Z18" s="2"/>
      <c r="AA18" s="2"/>
      <c r="AB18" s="2"/>
      <c r="AC18" s="2" t="s">
        <v>120</v>
      </c>
      <c r="AD18" s="2"/>
      <c r="AE18" s="2"/>
    </row>
    <row r="19" spans="1:31">
      <c r="A19" s="2" t="s">
        <v>9</v>
      </c>
      <c r="B19" s="2">
        <f>B11+B12+E4*E6</f>
        <v>42400</v>
      </c>
      <c r="C19" s="2" t="s">
        <v>5</v>
      </c>
      <c r="D19" s="5" t="s">
        <v>22</v>
      </c>
      <c r="E19" s="8">
        <f>B19+B20</f>
        <v>47800</v>
      </c>
      <c r="F19" s="2" t="s">
        <v>5</v>
      </c>
      <c r="G19" s="2"/>
      <c r="H19" s="2"/>
      <c r="I19" s="2"/>
      <c r="J19" s="2" t="s">
        <v>9</v>
      </c>
      <c r="K19" s="2">
        <f>K11+K12+N4*N5</f>
        <v>42400</v>
      </c>
      <c r="L19" s="2" t="s">
        <v>5</v>
      </c>
      <c r="M19" s="5" t="s">
        <v>22</v>
      </c>
      <c r="N19" s="8">
        <f>K19+K20</f>
        <v>47800</v>
      </c>
      <c r="O19" s="2" t="s">
        <v>5</v>
      </c>
      <c r="P19" s="2"/>
      <c r="Q19" s="2"/>
      <c r="R19" s="2"/>
      <c r="S19" s="2"/>
      <c r="T19" s="20">
        <v>12</v>
      </c>
      <c r="U19" s="20">
        <v>12</v>
      </c>
      <c r="V19" s="20">
        <v>12</v>
      </c>
      <c r="W19" s="20">
        <v>12</v>
      </c>
      <c r="X19" s="20">
        <v>12</v>
      </c>
      <c r="Y19" s="20">
        <v>26.3</v>
      </c>
      <c r="Z19" s="20">
        <v>26.3</v>
      </c>
      <c r="AA19" s="20">
        <v>26.3</v>
      </c>
      <c r="AB19" s="20">
        <v>26.3</v>
      </c>
      <c r="AC19" s="20">
        <v>26.3</v>
      </c>
      <c r="AD19" s="2"/>
      <c r="AE19" s="2"/>
    </row>
    <row r="20" spans="1:31">
      <c r="A20" s="2" t="s">
        <v>10</v>
      </c>
      <c r="B20" s="2">
        <f>E4*E7</f>
        <v>5400</v>
      </c>
      <c r="C20" s="2" t="s">
        <v>5</v>
      </c>
      <c r="D20" s="5" t="s">
        <v>24</v>
      </c>
      <c r="E20" s="7">
        <f>B19/(B19+B20)</f>
        <v>0.88702928870292885</v>
      </c>
      <c r="F20" s="2"/>
      <c r="G20" s="2"/>
      <c r="H20" s="2"/>
      <c r="I20" s="2"/>
      <c r="J20" s="2" t="s">
        <v>10</v>
      </c>
      <c r="K20" s="2">
        <f>N4*N6</f>
        <v>5400</v>
      </c>
      <c r="L20" s="2" t="s">
        <v>5</v>
      </c>
      <c r="M20" s="5" t="s">
        <v>24</v>
      </c>
      <c r="N20" s="7">
        <f>K19/(K19+K20)</f>
        <v>0.88702928870292885</v>
      </c>
      <c r="O20" s="2"/>
      <c r="P20" s="2"/>
      <c r="Q20" s="2"/>
      <c r="R20" s="2"/>
      <c r="S20" s="2"/>
      <c r="T20" s="20">
        <v>100</v>
      </c>
      <c r="U20" s="20">
        <v>100</v>
      </c>
      <c r="V20" s="20">
        <v>100</v>
      </c>
      <c r="W20" s="20">
        <v>100</v>
      </c>
      <c r="X20" s="20">
        <v>100</v>
      </c>
      <c r="Y20" s="20">
        <v>49.5</v>
      </c>
      <c r="Z20" s="20">
        <v>49.5</v>
      </c>
      <c r="AA20" s="20">
        <v>49.5</v>
      </c>
      <c r="AB20" s="20">
        <v>49.5</v>
      </c>
      <c r="AC20" s="20">
        <v>49.5</v>
      </c>
      <c r="AD20" s="2"/>
      <c r="AE20" s="2"/>
    </row>
    <row r="21" spans="1:3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1">
        <f>0.0496965*T19^3+0.979515*T19^2+46.9035*T19+609.484</f>
        <v>1399.251712</v>
      </c>
      <c r="U21" s="28">
        <f>6.112*EXP(17.67*U19/(243.5+U19))*100</f>
        <v>1401.539270425093</v>
      </c>
      <c r="V21" s="21">
        <f>6.11*10^(7.5*V19/(237.7+V19))*100</f>
        <v>1401.1148280972338</v>
      </c>
      <c r="W21" s="3">
        <f>EXP((17.438*W19)/(239.78+W19)+6.4147)</f>
        <v>1402.2123545491841</v>
      </c>
      <c r="X21" s="24"/>
      <c r="Y21" s="21">
        <f>0.0496965*Y19^3+0.979515*Y19^2+46.9035*Y19+609.484</f>
        <v>3424.6180261855002</v>
      </c>
      <c r="Z21" s="28">
        <f>6.112*EXP(17.67*Z19/(243.5+Z19))*100</f>
        <v>3421.6871481395492</v>
      </c>
      <c r="AA21" s="21">
        <f>6.11*10^(7.5*AA19/(237.7+AA19))*100</f>
        <v>3413.5030965084893</v>
      </c>
      <c r="AB21" s="3">
        <f>EXP((17.438*AB19)/(239.78+AB19)+6.4147)</f>
        <v>3423.1439874669654</v>
      </c>
      <c r="AC21" s="24"/>
      <c r="AD21" s="2"/>
      <c r="AE21" s="2"/>
    </row>
    <row r="22" spans="1:31">
      <c r="A22" s="2" t="s">
        <v>70</v>
      </c>
      <c r="B22" s="2"/>
      <c r="C22" s="2"/>
      <c r="D22" s="2"/>
      <c r="E22" s="2"/>
      <c r="F22" s="2"/>
      <c r="G22" s="2"/>
      <c r="H22" s="2"/>
      <c r="I22" s="2"/>
      <c r="J22" s="2" t="s">
        <v>70</v>
      </c>
      <c r="K22" s="2"/>
      <c r="L22" s="2"/>
      <c r="M22" s="2"/>
      <c r="N22" s="2"/>
      <c r="O22" s="2"/>
      <c r="P22" s="2"/>
      <c r="Q22" s="2"/>
      <c r="R22" s="2"/>
      <c r="S22" s="2"/>
      <c r="T22" s="26">
        <f>1000*0.622*T20/100*T21/(101325-T20/100*T21)</f>
        <v>8.7098128337810774</v>
      </c>
      <c r="U22" s="29">
        <f>1000*0.622*U20/100*U21/(101325-U20/100*U21)</f>
        <v>8.7242517406764417</v>
      </c>
      <c r="V22" s="26">
        <f>1000*0.622*V20/100*V21/(101325-V20/100*V21)</f>
        <v>8.7215726407877057</v>
      </c>
      <c r="W22" s="26">
        <f>1000*0.622*W20/100*W21/(101325-W20/100*W21)</f>
        <v>8.7285003259143963</v>
      </c>
      <c r="X22" s="25">
        <v>9</v>
      </c>
      <c r="Y22" s="22">
        <f>1000*0.622*Y20/100*Y21/(101325-Y20/100*Y21)</f>
        <v>10.5832340835941</v>
      </c>
      <c r="Z22" s="30">
        <f>1000*0.622*Z20/100*Z21/(101325-Z20/100*Z21)</f>
        <v>10.574022697627905</v>
      </c>
      <c r="AA22" s="22">
        <f>1000*0.622*AA20/100*AA21/(101325-AA20/100*AA21)</f>
        <v>10.548302659367131</v>
      </c>
      <c r="AB22" s="22">
        <f>1000*0.622*AB20/100*AB21/(101325-AB20/100*AB21)</f>
        <v>10.578601329303032</v>
      </c>
      <c r="AC22" s="24">
        <v>10.7</v>
      </c>
      <c r="AD22" s="2"/>
      <c r="AE22" s="2"/>
    </row>
    <row r="23" spans="1:31">
      <c r="A23" s="2" t="s">
        <v>52</v>
      </c>
      <c r="B23" s="13">
        <v>18</v>
      </c>
      <c r="C23" s="2" t="s">
        <v>8</v>
      </c>
      <c r="D23" s="2"/>
      <c r="E23" s="2"/>
      <c r="F23" s="2"/>
      <c r="G23" s="2"/>
      <c r="H23" s="2"/>
      <c r="I23" s="2"/>
      <c r="J23" s="2" t="s">
        <v>52</v>
      </c>
      <c r="K23" s="13">
        <v>18</v>
      </c>
      <c r="L23" s="2" t="s">
        <v>8</v>
      </c>
      <c r="M23" s="2"/>
      <c r="N23" s="2"/>
      <c r="O23" s="2"/>
      <c r="P23" s="2"/>
      <c r="Q23" s="2"/>
      <c r="R23" s="2"/>
      <c r="S23" s="2"/>
      <c r="T23" s="22">
        <f>1.006*T19+T22/1000*(2501+1.87*T19)</f>
        <v>34.050690097276522</v>
      </c>
      <c r="U23" s="30">
        <f>1.006*U19+U22/1000*(2501+1.87*U19)</f>
        <v>34.087125812492559</v>
      </c>
      <c r="V23" s="22">
        <f>1.006*V19+V22/1000*(2501+1.87*V19)</f>
        <v>34.080365264669325</v>
      </c>
      <c r="W23" s="22">
        <f>1.006*W19+W22/1000*(2501+1.87*W19)</f>
        <v>34.097846862425428</v>
      </c>
      <c r="X23" s="25"/>
      <c r="Y23" s="22">
        <f>1.006*Y19+Y22/1000*(2501+1.87*Y19)</f>
        <v>53.44696247853409</v>
      </c>
      <c r="Z23" s="30">
        <f>1.006*Z19+Z22/1000*(2501+1.87*Z19)</f>
        <v>53.423471777059433</v>
      </c>
      <c r="AA23" s="22">
        <f>1.006*AA19+AA22/1000*(2501+1.87*AA19)</f>
        <v>53.357881024167533</v>
      </c>
      <c r="AB23" s="22">
        <f>1.006*AB19+AB22/1000*(2501+1.87*AB19)</f>
        <v>53.43514811656334</v>
      </c>
      <c r="AC23" s="24"/>
      <c r="AD23" s="2"/>
      <c r="AE23" s="2"/>
    </row>
    <row r="24" spans="1:31" ht="22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</row>
    <row r="25" spans="1:31">
      <c r="A25" s="1" t="s">
        <v>37</v>
      </c>
      <c r="B25" s="2"/>
      <c r="C25" s="2"/>
      <c r="D25" s="2"/>
      <c r="E25" s="2"/>
      <c r="F25" s="2"/>
      <c r="G25" s="2"/>
      <c r="H25" s="2"/>
      <c r="I25" s="2"/>
      <c r="J25" s="1" t="s">
        <v>37</v>
      </c>
      <c r="K25" s="2"/>
      <c r="L25" s="2"/>
      <c r="M25" s="2"/>
      <c r="N25" s="2"/>
      <c r="O25" s="2"/>
      <c r="P25" s="2"/>
      <c r="Q25" s="2"/>
      <c r="R25" s="2"/>
      <c r="S25" s="2"/>
      <c r="T25" s="2" t="s">
        <v>117</v>
      </c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</row>
    <row r="26" spans="1:31">
      <c r="A26" s="2" t="s">
        <v>15</v>
      </c>
      <c r="B26" s="2"/>
      <c r="C26" s="2"/>
      <c r="D26" s="2"/>
      <c r="E26" s="2"/>
      <c r="F26" s="2"/>
      <c r="G26" s="2"/>
      <c r="H26" s="2"/>
      <c r="I26" s="2"/>
      <c r="J26" s="2" t="s">
        <v>15</v>
      </c>
      <c r="K26" s="2"/>
      <c r="L26" s="2"/>
      <c r="M26" s="2"/>
      <c r="N26" s="2"/>
      <c r="O26" s="2"/>
      <c r="P26" s="2"/>
      <c r="Q26" s="2"/>
      <c r="R26" s="2"/>
      <c r="S26" s="2" t="s">
        <v>3</v>
      </c>
      <c r="T26" s="2">
        <v>0.36499999999999999</v>
      </c>
      <c r="U26" s="2">
        <v>0.36499999999999999</v>
      </c>
      <c r="V26" s="2">
        <v>0.36499999999999999</v>
      </c>
      <c r="W26" s="2">
        <v>0.36499999999999999</v>
      </c>
      <c r="X26" s="2">
        <v>0.36499999999999999</v>
      </c>
      <c r="Y26" s="6"/>
      <c r="Z26" s="2"/>
      <c r="AA26" s="2"/>
      <c r="AB26" s="2"/>
      <c r="AC26" s="2"/>
      <c r="AD26" s="2"/>
      <c r="AE26" s="2"/>
    </row>
    <row r="27" spans="1:31" ht="16.75" customHeight="1">
      <c r="A27" s="2" t="s">
        <v>26</v>
      </c>
      <c r="B27" s="13">
        <v>74</v>
      </c>
      <c r="C27" s="2" t="s">
        <v>3</v>
      </c>
      <c r="D27" s="2" t="s">
        <v>23</v>
      </c>
      <c r="E27" s="11">
        <f>0.0496965*$B$23^3+0.979515*$B$23^2+46.9035*$B$23+609.484</f>
        <v>2060.939848</v>
      </c>
      <c r="F27" s="2" t="s">
        <v>33</v>
      </c>
      <c r="G27" s="2"/>
      <c r="H27" s="2"/>
      <c r="I27" s="2"/>
      <c r="J27" s="2" t="s">
        <v>26</v>
      </c>
      <c r="K27" s="13">
        <v>74</v>
      </c>
      <c r="L27" s="2" t="s">
        <v>3</v>
      </c>
      <c r="M27" s="2" t="s">
        <v>23</v>
      </c>
      <c r="N27" s="32">
        <f>6.112*EXP(17.67*K23/(243.5+K23))*100</f>
        <v>2062.5840498634302</v>
      </c>
      <c r="O27" s="2" t="s">
        <v>33</v>
      </c>
      <c r="P27" s="2"/>
      <c r="Q27" s="2"/>
      <c r="R27" s="2"/>
      <c r="S27" s="2" t="s">
        <v>114</v>
      </c>
      <c r="T27" s="2">
        <f>6.02</f>
        <v>6.02</v>
      </c>
      <c r="U27" s="2">
        <f>6.02</f>
        <v>6.02</v>
      </c>
      <c r="V27" s="2">
        <f>6.02</f>
        <v>6.02</v>
      </c>
      <c r="W27" s="2">
        <f>6.02</f>
        <v>6.02</v>
      </c>
      <c r="X27" s="2">
        <f>6.02</f>
        <v>6.02</v>
      </c>
      <c r="Y27" s="6"/>
      <c r="Z27" s="2"/>
      <c r="AA27" s="2"/>
      <c r="AB27" s="2"/>
      <c r="AC27" s="2"/>
      <c r="AD27" s="2"/>
      <c r="AE27" s="2"/>
    </row>
    <row r="28" spans="1:31">
      <c r="A28" s="2" t="s">
        <v>31</v>
      </c>
      <c r="B28" s="2">
        <v>9.6</v>
      </c>
      <c r="C28" s="2" t="s">
        <v>16</v>
      </c>
      <c r="D28" s="2" t="s">
        <v>31</v>
      </c>
      <c r="E28" s="18">
        <f>0.622*B27/100*E27/(101325-B27/100*E27)</f>
        <v>9.505113235041383E-3</v>
      </c>
      <c r="F28" s="2" t="s">
        <v>19</v>
      </c>
      <c r="G28" s="2"/>
      <c r="H28" s="2"/>
      <c r="I28" s="2"/>
      <c r="J28" s="2" t="s">
        <v>31</v>
      </c>
      <c r="K28" s="2">
        <v>9.6</v>
      </c>
      <c r="L28" s="2" t="s">
        <v>16</v>
      </c>
      <c r="M28" s="2" t="s">
        <v>31</v>
      </c>
      <c r="N28" s="18">
        <f>0.622*K27/100*N27/(101325-K27/100*N27)</f>
        <v>9.5128123161719556E-3</v>
      </c>
      <c r="O28" s="2" t="s">
        <v>19</v>
      </c>
      <c r="P28" s="2"/>
      <c r="Q28" s="2"/>
      <c r="R28" s="2"/>
      <c r="S28" s="2" t="s">
        <v>115</v>
      </c>
      <c r="T28" s="6">
        <f>T27*(1-T26)</f>
        <v>3.8226999999999998</v>
      </c>
      <c r="U28" s="6">
        <f>U27*(1-U26)</f>
        <v>3.8226999999999998</v>
      </c>
      <c r="V28" s="6">
        <f>V27*(1-V26)</f>
        <v>3.8226999999999998</v>
      </c>
      <c r="W28" s="6">
        <f>W27*(1-W26)</f>
        <v>3.8226999999999998</v>
      </c>
      <c r="X28" s="6">
        <f>X27*(1-X26)</f>
        <v>3.8226999999999998</v>
      </c>
      <c r="Y28" s="6"/>
      <c r="Z28" s="2"/>
      <c r="AA28" s="2"/>
      <c r="AB28" s="2"/>
      <c r="AC28" s="2"/>
      <c r="AD28" s="2"/>
      <c r="AE28" s="2"/>
    </row>
    <row r="29" spans="1:31">
      <c r="A29" s="2"/>
      <c r="B29" s="2"/>
      <c r="C29" s="2"/>
      <c r="D29" s="2" t="s">
        <v>25</v>
      </c>
      <c r="E29" s="7">
        <f>1.006*B23+E28*(2501+1.87*B23)</f>
        <v>42.200230312329992</v>
      </c>
      <c r="F29" s="2" t="s">
        <v>21</v>
      </c>
      <c r="G29" s="2"/>
      <c r="H29" s="2"/>
      <c r="I29" s="2"/>
      <c r="J29" s="2"/>
      <c r="K29" s="2"/>
      <c r="L29" s="2"/>
      <c r="M29" s="2" t="s">
        <v>25</v>
      </c>
      <c r="N29" s="7">
        <f>1.006*K23+N28*(2501+1.87*K23)</f>
        <v>42.219744865308407</v>
      </c>
      <c r="O29" s="2" t="s">
        <v>21</v>
      </c>
      <c r="P29" s="2"/>
      <c r="Q29" s="2"/>
      <c r="R29" s="2"/>
      <c r="S29" s="2" t="s">
        <v>106</v>
      </c>
      <c r="T29" s="6">
        <f>T27*T26</f>
        <v>2.1972999999999998</v>
      </c>
      <c r="U29" s="6">
        <f>U27*U26</f>
        <v>2.1972999999999998</v>
      </c>
      <c r="V29" s="6">
        <f>V27*V26</f>
        <v>2.1972999999999998</v>
      </c>
      <c r="W29" s="6">
        <f>W27*W26</f>
        <v>2.1972999999999998</v>
      </c>
      <c r="X29" s="6">
        <f>X27*X26</f>
        <v>2.1972999999999998</v>
      </c>
      <c r="Y29" s="2"/>
      <c r="Z29" s="2"/>
      <c r="AA29" s="2"/>
      <c r="AB29" s="2"/>
      <c r="AC29" s="2"/>
      <c r="AD29" s="2"/>
      <c r="AE29" s="2"/>
    </row>
    <row r="30" spans="1:31">
      <c r="A30" s="2" t="s">
        <v>53</v>
      </c>
      <c r="B30" s="2"/>
      <c r="C30" s="2"/>
      <c r="D30" s="2"/>
      <c r="E30" s="2"/>
      <c r="F30" s="2"/>
      <c r="G30" s="2"/>
      <c r="H30" s="2"/>
      <c r="I30" s="2"/>
      <c r="J30" s="2" t="s">
        <v>53</v>
      </c>
      <c r="K30" s="2"/>
      <c r="L30" s="2"/>
      <c r="M30" s="2"/>
      <c r="N30" s="2"/>
      <c r="O30" s="2"/>
      <c r="P30" s="2"/>
      <c r="Q30" s="2"/>
      <c r="R30" s="2"/>
      <c r="S30" s="23" t="s">
        <v>116</v>
      </c>
      <c r="T30" s="6">
        <f>1000*(T28*T22/1000+T29*Y22/1000)/T27</f>
        <v>9.3936115899628305</v>
      </c>
      <c r="U30" s="31">
        <f>1000*(U28*U22/1000+U29*Z22/1000)/U27</f>
        <v>9.3994181399637249</v>
      </c>
      <c r="V30" s="6">
        <f>1000*(V28*V22/1000+V29*AA22/1000)/V27</f>
        <v>9.388329097569196</v>
      </c>
      <c r="W30" s="6">
        <f>1000*(W28*W22/1000+W29*AB22/1000)/W27</f>
        <v>9.4037871921512473</v>
      </c>
      <c r="X30" s="31">
        <f>1000*(X28*X22/1000+X29*AC22/1000)/X27</f>
        <v>9.6204999999999998</v>
      </c>
      <c r="Y30" s="2"/>
      <c r="Z30" s="2"/>
      <c r="AA30" s="2"/>
      <c r="AB30" s="2"/>
      <c r="AC30" s="2"/>
      <c r="AD30" s="2"/>
      <c r="AE30" s="2"/>
    </row>
    <row r="31" spans="1:31">
      <c r="A31" s="2" t="s">
        <v>62</v>
      </c>
      <c r="B31" s="6">
        <f>E19/(E17-E29)/1000</f>
        <v>5.8845642649552738</v>
      </c>
      <c r="C31" s="2" t="s">
        <v>17</v>
      </c>
      <c r="D31" s="2"/>
      <c r="E31" s="2"/>
      <c r="F31" s="2"/>
      <c r="G31" s="2"/>
      <c r="H31" s="2"/>
      <c r="I31" s="2"/>
      <c r="J31" s="2" t="s">
        <v>62</v>
      </c>
      <c r="K31" s="6">
        <f>N19/(N17-N29)/1000</f>
        <v>5.9067120645398958</v>
      </c>
      <c r="L31" s="2" t="s">
        <v>17</v>
      </c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</row>
    <row r="32" spans="1:31">
      <c r="A32" s="2"/>
      <c r="B32" s="6"/>
      <c r="C32" s="2"/>
      <c r="D32" s="2"/>
      <c r="E32" s="2"/>
      <c r="F32" s="2"/>
      <c r="G32" s="2"/>
      <c r="H32" s="2"/>
      <c r="I32" s="2"/>
      <c r="J32" s="2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</row>
    <row r="33" spans="1:31">
      <c r="A33" s="1" t="s">
        <v>38</v>
      </c>
      <c r="B33" s="6"/>
      <c r="C33" s="2"/>
      <c r="D33" s="2"/>
      <c r="E33" s="2"/>
      <c r="F33" s="2"/>
      <c r="G33" s="2"/>
      <c r="H33" s="2"/>
      <c r="I33" s="2"/>
      <c r="J33" s="1" t="s">
        <v>38</v>
      </c>
      <c r="K33" s="6"/>
      <c r="L33" s="2"/>
      <c r="M33" s="2"/>
      <c r="N33" s="2"/>
      <c r="O33" s="2"/>
      <c r="P33" s="2"/>
      <c r="Q33" s="2"/>
      <c r="R33" s="2"/>
      <c r="S33" s="2"/>
      <c r="T33" s="2" t="s">
        <v>124</v>
      </c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</row>
    <row r="34" spans="1:31">
      <c r="A34" s="2" t="s">
        <v>129</v>
      </c>
      <c r="B34" s="6"/>
      <c r="C34" s="2"/>
      <c r="D34" s="2"/>
      <c r="E34" s="2"/>
      <c r="F34" s="2"/>
      <c r="G34" s="2"/>
      <c r="H34" s="2"/>
      <c r="I34" s="2"/>
      <c r="J34" s="2" t="s">
        <v>95</v>
      </c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</row>
    <row r="35" spans="1:31">
      <c r="A35" s="2" t="s">
        <v>63</v>
      </c>
      <c r="B35" s="6">
        <f>B19/(1006*(B15-B23))</f>
        <v>6.0210167566032373</v>
      </c>
      <c r="C35" s="2" t="s">
        <v>17</v>
      </c>
      <c r="D35" s="2"/>
      <c r="E35" s="2"/>
      <c r="F35" s="2"/>
      <c r="G35" s="2"/>
      <c r="H35" s="2"/>
      <c r="I35" s="2"/>
      <c r="J35" s="2" t="s">
        <v>63</v>
      </c>
      <c r="K35" s="6">
        <f>K19/(1006*(K15-K23))</f>
        <v>6.0210167566032373</v>
      </c>
      <c r="L35" s="2" t="s">
        <v>17</v>
      </c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</row>
    <row r="36" spans="1:3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</row>
    <row r="37" spans="1:31">
      <c r="A37" s="2" t="s">
        <v>44</v>
      </c>
      <c r="B37" s="2"/>
      <c r="C37" s="2"/>
      <c r="D37" s="2"/>
      <c r="E37" s="2"/>
      <c r="F37" s="2"/>
      <c r="G37" s="2"/>
      <c r="H37" s="2"/>
      <c r="I37" s="2"/>
      <c r="J37" s="2" t="s">
        <v>44</v>
      </c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</row>
    <row r="38" spans="1:31">
      <c r="A38" s="15" t="s">
        <v>51</v>
      </c>
      <c r="B38" s="8">
        <f>E10/B35</f>
        <v>3.5224448546950274E-4</v>
      </c>
      <c r="C38" s="2" t="s">
        <v>19</v>
      </c>
      <c r="D38" s="10">
        <f>B38*1000</f>
        <v>0.35224448546950277</v>
      </c>
      <c r="E38" s="2" t="s">
        <v>16</v>
      </c>
      <c r="F38" s="2"/>
      <c r="G38" s="2"/>
      <c r="H38" s="2"/>
      <c r="I38" s="2"/>
      <c r="J38" s="15" t="s">
        <v>51</v>
      </c>
      <c r="K38" s="8">
        <f>N9/K35</f>
        <v>3.5224448546950274E-4</v>
      </c>
      <c r="L38" s="2" t="s">
        <v>27</v>
      </c>
      <c r="M38" s="10">
        <f>K38*1000</f>
        <v>0.35224448546950277</v>
      </c>
      <c r="N38" s="2" t="s">
        <v>16</v>
      </c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</row>
    <row r="39" spans="1:31">
      <c r="A39" s="2" t="s">
        <v>50</v>
      </c>
      <c r="B39" s="2"/>
      <c r="C39" s="2"/>
      <c r="D39" s="2"/>
      <c r="E39" s="2"/>
      <c r="F39" s="2"/>
      <c r="G39" s="2"/>
      <c r="H39" s="2"/>
      <c r="I39" s="2"/>
      <c r="J39" s="2" t="s">
        <v>50</v>
      </c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</row>
    <row r="40" spans="1:31">
      <c r="A40" s="15" t="s">
        <v>45</v>
      </c>
      <c r="B40" s="9">
        <f>E16-B38</f>
        <v>9.5346136591099341E-3</v>
      </c>
      <c r="C40" s="2" t="s">
        <v>27</v>
      </c>
      <c r="D40" s="6">
        <f>B40*1000</f>
        <v>9.5346136591099349</v>
      </c>
      <c r="E40" s="2" t="s">
        <v>16</v>
      </c>
      <c r="F40" s="2"/>
      <c r="G40" s="2"/>
      <c r="H40" s="2"/>
      <c r="I40" s="2"/>
      <c r="J40" s="15" t="s">
        <v>45</v>
      </c>
      <c r="K40" s="9">
        <f>N16-K38</f>
        <v>9.5240123912096585E-3</v>
      </c>
      <c r="L40" s="2" t="s">
        <v>27</v>
      </c>
      <c r="M40" s="6">
        <f>K40*1000</f>
        <v>9.5240123912096593</v>
      </c>
      <c r="N40" s="2" t="s">
        <v>16</v>
      </c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</row>
    <row r="41" spans="1:3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</row>
    <row r="42" spans="1:31">
      <c r="A42" s="2" t="s">
        <v>28</v>
      </c>
      <c r="B42" s="2"/>
      <c r="C42" s="2"/>
      <c r="D42" s="2" t="s">
        <v>46</v>
      </c>
      <c r="E42" s="2"/>
      <c r="F42" s="2"/>
      <c r="G42" s="2"/>
      <c r="H42" s="2"/>
      <c r="I42" s="2"/>
      <c r="J42" s="2" t="s">
        <v>28</v>
      </c>
      <c r="K42" s="2"/>
      <c r="L42" s="2"/>
      <c r="M42" s="2" t="s">
        <v>46</v>
      </c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</row>
    <row r="43" spans="1:31">
      <c r="A43" s="2" t="s">
        <v>29</v>
      </c>
      <c r="B43" s="7">
        <f>(1.006+1.805*B40)*B23+2501*B40</f>
        <v>42.263848359218429</v>
      </c>
      <c r="C43" s="2" t="s">
        <v>30</v>
      </c>
      <c r="D43" s="2"/>
      <c r="E43" s="2"/>
      <c r="F43" s="2"/>
      <c r="G43" s="2"/>
      <c r="H43" s="2"/>
      <c r="I43" s="2"/>
      <c r="J43" s="2" t="s">
        <v>29</v>
      </c>
      <c r="K43" s="7">
        <f>(1.006+1.805*K40)*K23+2501*K40</f>
        <v>42.236990153005756</v>
      </c>
      <c r="L43" s="2" t="s">
        <v>30</v>
      </c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</row>
    <row r="44" spans="1:31">
      <c r="A44" s="2" t="s">
        <v>23</v>
      </c>
      <c r="B44" s="11">
        <f>0.0496965*$B$23^3+0.979515*$B$23^2+46.9035*$B$23+609.484</f>
        <v>2060.939848</v>
      </c>
      <c r="C44" s="2" t="s">
        <v>33</v>
      </c>
      <c r="D44" s="2"/>
      <c r="E44" s="2"/>
      <c r="F44" s="2"/>
      <c r="G44" s="2"/>
      <c r="H44" s="2"/>
      <c r="I44" s="2"/>
      <c r="J44" s="2" t="s">
        <v>23</v>
      </c>
      <c r="K44" s="32">
        <f>6.112*EXP(17.67*K23/(243.5+K23))*100</f>
        <v>2062.5840498634302</v>
      </c>
      <c r="L44" s="2" t="s">
        <v>33</v>
      </c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</row>
    <row r="45" spans="1:31">
      <c r="A45" s="2" t="s">
        <v>96</v>
      </c>
      <c r="B45" s="2"/>
      <c r="C45" s="2"/>
      <c r="D45" s="2"/>
      <c r="E45" s="2"/>
      <c r="F45" s="2"/>
      <c r="G45" s="2"/>
      <c r="H45" s="2"/>
      <c r="I45" s="2"/>
      <c r="J45" s="2" t="s">
        <v>96</v>
      </c>
      <c r="K45" s="2"/>
      <c r="L45" s="2"/>
      <c r="M45" s="2"/>
      <c r="N45" s="2"/>
      <c r="O45" s="2"/>
      <c r="P45" s="2"/>
      <c r="Q45" s="2"/>
      <c r="R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</row>
    <row r="46" spans="1:31">
      <c r="A46" s="2" t="s">
        <v>47</v>
      </c>
      <c r="B46" s="11">
        <f>101325*B40/(0.622+B40)</f>
        <v>1529.7573689773926</v>
      </c>
      <c r="C46" s="2" t="s">
        <v>131</v>
      </c>
      <c r="D46" s="2"/>
      <c r="E46" s="2"/>
      <c r="F46" s="2"/>
      <c r="G46" s="2"/>
      <c r="H46" s="2"/>
      <c r="I46" s="2"/>
      <c r="J46" s="2" t="s">
        <v>47</v>
      </c>
      <c r="K46" s="11">
        <f>101325*K40/(0.622+K40)</f>
        <v>1528.0821261021474</v>
      </c>
      <c r="L46" s="2" t="s">
        <v>33</v>
      </c>
      <c r="M46" s="2"/>
      <c r="N46" s="2"/>
      <c r="O46" s="2"/>
      <c r="P46" s="2"/>
      <c r="Q46" s="2"/>
      <c r="R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</row>
    <row r="47" spans="1:31">
      <c r="A47" s="2" t="s">
        <v>48</v>
      </c>
      <c r="B47" s="2"/>
      <c r="C47" s="2"/>
      <c r="D47" s="2"/>
      <c r="E47" s="2"/>
      <c r="F47" s="2"/>
      <c r="G47" s="2"/>
      <c r="H47" s="2"/>
      <c r="I47" s="2"/>
      <c r="J47" s="2" t="s">
        <v>48</v>
      </c>
      <c r="K47" s="2"/>
      <c r="L47" s="2"/>
      <c r="M47" s="2"/>
      <c r="N47" s="2"/>
      <c r="O47" s="2"/>
      <c r="P47" s="2"/>
      <c r="Q47" s="2"/>
      <c r="R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</row>
    <row r="48" spans="1:31">
      <c r="A48" s="2" t="s">
        <v>130</v>
      </c>
      <c r="B48" s="14">
        <f>B46/B44*100</f>
        <v>74.226201723544563</v>
      </c>
      <c r="C48" s="2" t="s">
        <v>3</v>
      </c>
      <c r="D48" s="2"/>
      <c r="E48" s="2"/>
      <c r="F48" s="2"/>
      <c r="G48" s="2"/>
      <c r="H48" s="2"/>
      <c r="I48" s="2"/>
      <c r="J48" s="2" t="s">
        <v>49</v>
      </c>
      <c r="K48" s="14">
        <f>K46/K44*100</f>
        <v>74.085811252313633</v>
      </c>
      <c r="L48" s="2" t="s">
        <v>3</v>
      </c>
      <c r="M48" s="2"/>
      <c r="N48" s="2"/>
      <c r="O48" s="2"/>
      <c r="P48" s="2"/>
      <c r="Q48" s="2"/>
      <c r="R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</row>
    <row r="49" spans="1:3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</row>
    <row r="50" spans="1:31">
      <c r="A50" s="1" t="s">
        <v>56</v>
      </c>
      <c r="B50" s="2"/>
      <c r="C50" s="2"/>
      <c r="D50" s="2"/>
      <c r="E50" s="2"/>
      <c r="F50" s="2"/>
      <c r="G50" s="2"/>
      <c r="H50" s="2"/>
      <c r="I50" s="2"/>
      <c r="J50" s="1" t="s">
        <v>56</v>
      </c>
      <c r="K50" s="2"/>
      <c r="L50" s="2"/>
      <c r="M50" s="2"/>
      <c r="N50" s="2"/>
      <c r="O50" s="2"/>
      <c r="P50" s="2"/>
      <c r="Q50" s="2"/>
      <c r="R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</row>
    <row r="51" spans="1:31">
      <c r="A51" s="2" t="s">
        <v>57</v>
      </c>
      <c r="B51" s="2">
        <v>7.5</v>
      </c>
      <c r="C51" s="2" t="s">
        <v>58</v>
      </c>
      <c r="D51" s="2">
        <f>B51*3.6</f>
        <v>27</v>
      </c>
      <c r="E51" s="2" t="s">
        <v>59</v>
      </c>
      <c r="F51" s="2">
        <f>1.2*D51</f>
        <v>32.4</v>
      </c>
      <c r="G51" s="2" t="s">
        <v>60</v>
      </c>
      <c r="H51" s="35">
        <f>F51/3600</f>
        <v>8.9999999999999993E-3</v>
      </c>
      <c r="I51" s="2" t="s">
        <v>17</v>
      </c>
      <c r="J51" s="2" t="s">
        <v>57</v>
      </c>
      <c r="K51" s="2">
        <v>7</v>
      </c>
      <c r="L51" s="2" t="s">
        <v>58</v>
      </c>
      <c r="M51" s="2">
        <f>K51*3.6</f>
        <v>25.2</v>
      </c>
      <c r="N51" s="2" t="s">
        <v>59</v>
      </c>
      <c r="O51" s="2">
        <f>1.2*M51</f>
        <v>30.24</v>
      </c>
      <c r="P51" s="2" t="s">
        <v>60</v>
      </c>
      <c r="Q51" s="2">
        <f>O51/3600</f>
        <v>8.3999999999999995E-3</v>
      </c>
      <c r="R51" s="2" t="s">
        <v>17</v>
      </c>
    </row>
    <row r="52" spans="1:31">
      <c r="A52" s="2" t="s">
        <v>61</v>
      </c>
      <c r="B52" s="2">
        <v>120</v>
      </c>
      <c r="C52" s="2"/>
      <c r="D52" s="2"/>
      <c r="E52" s="2"/>
      <c r="F52" s="2"/>
      <c r="G52" s="2"/>
      <c r="H52" s="2"/>
      <c r="I52" s="2"/>
      <c r="J52" s="2" t="s">
        <v>61</v>
      </c>
      <c r="K52" s="2">
        <v>120</v>
      </c>
      <c r="L52" s="2"/>
      <c r="M52" s="2"/>
      <c r="N52" s="2"/>
      <c r="O52" s="2"/>
      <c r="P52" s="2"/>
      <c r="Q52" s="2"/>
      <c r="R52" s="2"/>
    </row>
    <row r="53" spans="1:31">
      <c r="A53" s="2" t="s">
        <v>65</v>
      </c>
      <c r="B53" s="8">
        <f>B52*H51</f>
        <v>1.0799999999999998</v>
      </c>
      <c r="C53" s="2" t="s">
        <v>17</v>
      </c>
      <c r="D53" s="2"/>
      <c r="E53" s="2"/>
      <c r="F53" s="2"/>
      <c r="G53" s="2"/>
      <c r="H53" s="2"/>
      <c r="I53" s="2"/>
      <c r="J53" s="2" t="s">
        <v>65</v>
      </c>
      <c r="K53" s="8">
        <f>K52*Q51</f>
        <v>1.008</v>
      </c>
      <c r="L53" s="2" t="s">
        <v>17</v>
      </c>
      <c r="M53" s="2"/>
      <c r="N53" s="2"/>
      <c r="O53" s="2"/>
      <c r="P53" s="2"/>
      <c r="Q53" s="2"/>
      <c r="R53" s="2"/>
    </row>
    <row r="54" spans="1:31">
      <c r="A54" s="2" t="s">
        <v>69</v>
      </c>
      <c r="B54" s="6">
        <f>B35</f>
        <v>6.0210167566032373</v>
      </c>
      <c r="C54" s="2" t="s">
        <v>17</v>
      </c>
      <c r="D54" s="2"/>
      <c r="E54" s="2"/>
      <c r="F54" s="2"/>
      <c r="G54" s="2"/>
      <c r="H54" s="2"/>
      <c r="I54" s="2"/>
      <c r="J54" s="2" t="s">
        <v>69</v>
      </c>
      <c r="K54" s="6">
        <f>K35</f>
        <v>6.0210167566032373</v>
      </c>
      <c r="L54" s="2" t="s">
        <v>17</v>
      </c>
      <c r="M54" s="2"/>
      <c r="N54" s="2"/>
      <c r="O54" s="2"/>
      <c r="P54" s="2"/>
      <c r="Q54" s="2"/>
      <c r="R54" s="2"/>
    </row>
    <row r="55" spans="1:31">
      <c r="A55" s="2" t="s">
        <v>64</v>
      </c>
      <c r="B55" s="7">
        <f>B54-B53</f>
        <v>4.9410167566032372</v>
      </c>
      <c r="C55" s="2" t="s">
        <v>17</v>
      </c>
      <c r="D55" s="2"/>
      <c r="E55" s="2"/>
      <c r="F55" s="2"/>
      <c r="G55" s="2"/>
      <c r="H55" s="2"/>
      <c r="I55" s="2"/>
      <c r="J55" s="2" t="s">
        <v>64</v>
      </c>
      <c r="K55" s="7">
        <f>K54-K53</f>
        <v>5.0130167566032373</v>
      </c>
      <c r="L55" s="2" t="s">
        <v>17</v>
      </c>
      <c r="M55" s="2"/>
      <c r="N55" s="2"/>
      <c r="O55" s="2"/>
      <c r="P55" s="2"/>
      <c r="Q55" s="2"/>
      <c r="R55" s="2"/>
    </row>
    <row r="56" spans="1:3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</row>
    <row r="57" spans="1:31">
      <c r="A57" s="1" t="s">
        <v>134</v>
      </c>
      <c r="B57" s="2"/>
      <c r="C57" s="2"/>
      <c r="D57" s="2"/>
      <c r="E57" s="2"/>
      <c r="F57" s="2"/>
      <c r="G57" s="2"/>
      <c r="H57" s="2"/>
      <c r="I57" s="2"/>
      <c r="J57" s="1" t="s">
        <v>66</v>
      </c>
      <c r="K57" s="2"/>
      <c r="L57" s="2"/>
      <c r="M57" s="2"/>
      <c r="N57" s="2"/>
      <c r="O57" s="2"/>
      <c r="P57" s="2"/>
      <c r="Q57" s="2"/>
      <c r="R57" s="2"/>
    </row>
    <row r="58" spans="1:31">
      <c r="A58" s="2" t="s">
        <v>86</v>
      </c>
      <c r="B58" s="14">
        <f>(B5*$B$53+B15*$B$55)/$B$54</f>
        <v>26.434973584905659</v>
      </c>
      <c r="C58" s="2" t="s">
        <v>8</v>
      </c>
      <c r="D58" s="2"/>
      <c r="E58" s="2"/>
      <c r="F58" s="2"/>
      <c r="G58" s="2"/>
      <c r="H58" s="2"/>
      <c r="I58" s="2"/>
      <c r="J58" s="2" t="s">
        <v>86</v>
      </c>
      <c r="K58" s="14">
        <f>(K5*$B$53+K15*$B$55)/$B$54</f>
        <v>26.434973584905659</v>
      </c>
      <c r="L58" s="2" t="s">
        <v>8</v>
      </c>
      <c r="M58" s="2"/>
      <c r="N58" s="2"/>
      <c r="O58" s="2"/>
      <c r="P58" s="2"/>
      <c r="Q58" s="2"/>
      <c r="R58" s="2"/>
    </row>
    <row r="59" spans="1:31">
      <c r="A59" s="2" t="s">
        <v>87</v>
      </c>
      <c r="B59" s="14">
        <f>(B9*$B$53+E17*$B$55)/$B$54</f>
        <v>53.752404921925404</v>
      </c>
      <c r="C59" s="2" t="s">
        <v>67</v>
      </c>
      <c r="D59" s="2"/>
      <c r="E59" s="2"/>
      <c r="F59" s="2"/>
      <c r="G59" s="2"/>
      <c r="H59" s="2"/>
      <c r="I59" s="2"/>
      <c r="J59" s="2" t="s">
        <v>87</v>
      </c>
      <c r="K59" s="14">
        <f>(K9*$B$53+N17*$B$55)/$B$54</f>
        <v>53.783187190155544</v>
      </c>
      <c r="L59" s="2" t="s">
        <v>67</v>
      </c>
      <c r="M59" s="2"/>
      <c r="N59" s="2"/>
      <c r="O59" s="2"/>
      <c r="P59" s="2"/>
      <c r="Q59" s="2"/>
      <c r="R59" s="2"/>
    </row>
    <row r="60" spans="1:31">
      <c r="A60" s="2" t="s">
        <v>88</v>
      </c>
      <c r="B60" s="18">
        <f>(B8*$B$53+E16*$B$55)/$B$54</f>
        <v>1.0652328492235635E-2</v>
      </c>
      <c r="C60" s="2" t="s">
        <v>68</v>
      </c>
      <c r="D60" s="2"/>
      <c r="E60" s="2"/>
      <c r="F60" s="2"/>
      <c r="G60" s="2"/>
      <c r="H60" s="2"/>
      <c r="I60" s="2"/>
      <c r="J60" s="2" t="s">
        <v>88</v>
      </c>
      <c r="K60" s="18">
        <f>(K8*$B$53+N16*$B$55)/$B$54</f>
        <v>1.0657019566376867E-2</v>
      </c>
      <c r="L60" s="2" t="s">
        <v>68</v>
      </c>
      <c r="M60" s="2"/>
      <c r="N60" s="2"/>
      <c r="O60" s="2"/>
      <c r="P60" s="2"/>
      <c r="Q60" s="2"/>
      <c r="R60" s="2"/>
    </row>
    <row r="61" spans="1:31">
      <c r="A61" s="2" t="s">
        <v>23</v>
      </c>
      <c r="B61" s="11">
        <f>0.0496965*B58^3+0.979515*B58^2+46.9035*B58+609.484</f>
        <v>3451.9113125601966</v>
      </c>
      <c r="C61" s="2" t="s">
        <v>33</v>
      </c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</row>
    <row r="62" spans="1:31">
      <c r="A62" s="2" t="s">
        <v>123</v>
      </c>
      <c r="B62" s="11">
        <f>101325*B60/(0.622+B60)</f>
        <v>1706.0668804430431</v>
      </c>
      <c r="C62" s="2" t="s">
        <v>33</v>
      </c>
      <c r="D62" s="2"/>
      <c r="E62" s="2"/>
      <c r="F62" s="2"/>
      <c r="G62" s="2"/>
      <c r="H62" s="2"/>
      <c r="I62" s="2"/>
      <c r="J62" s="1" t="s">
        <v>72</v>
      </c>
      <c r="K62" s="2"/>
      <c r="L62" s="2"/>
      <c r="M62" s="2"/>
      <c r="N62" s="2"/>
      <c r="O62" s="2"/>
      <c r="P62" s="2"/>
      <c r="Q62" s="2"/>
      <c r="R62" s="2"/>
    </row>
    <row r="63" spans="1:31">
      <c r="A63" s="2" t="s">
        <v>49</v>
      </c>
      <c r="B63" s="14">
        <f>B62/B61*100</f>
        <v>49.423832942500944</v>
      </c>
      <c r="C63" s="2" t="s">
        <v>3</v>
      </c>
      <c r="D63" s="2"/>
      <c r="E63" s="2"/>
      <c r="F63" s="2"/>
      <c r="G63" s="2"/>
      <c r="H63" s="2"/>
      <c r="I63" s="2"/>
      <c r="J63" s="2" t="s">
        <v>71</v>
      </c>
      <c r="K63" s="2">
        <v>12</v>
      </c>
      <c r="L63" s="2" t="s">
        <v>8</v>
      </c>
      <c r="M63" s="2"/>
      <c r="N63" s="2"/>
      <c r="O63" s="2"/>
      <c r="P63" s="2"/>
      <c r="Q63" s="2"/>
      <c r="R63" s="2"/>
    </row>
    <row r="64" spans="1:31">
      <c r="A64" s="2"/>
      <c r="B64" s="2"/>
      <c r="C64" s="2"/>
      <c r="D64" s="2"/>
      <c r="E64" s="2"/>
      <c r="F64" s="2"/>
      <c r="G64" s="2"/>
      <c r="H64" s="2"/>
      <c r="I64" s="2"/>
      <c r="J64" s="2" t="s">
        <v>90</v>
      </c>
      <c r="K64" s="2">
        <v>100</v>
      </c>
      <c r="L64" s="2" t="s">
        <v>3</v>
      </c>
      <c r="M64" s="2"/>
      <c r="N64" s="2"/>
      <c r="O64" s="2"/>
      <c r="P64" s="2"/>
      <c r="Q64" s="2"/>
      <c r="R64" s="2"/>
    </row>
    <row r="65" spans="1:18">
      <c r="A65" s="1" t="s">
        <v>72</v>
      </c>
      <c r="B65" s="2"/>
      <c r="C65" s="2"/>
      <c r="D65" s="2"/>
      <c r="E65" s="2"/>
      <c r="F65" s="2"/>
      <c r="G65" s="2"/>
      <c r="H65" s="2"/>
      <c r="I65" s="2"/>
      <c r="J65" s="2" t="s">
        <v>89</v>
      </c>
      <c r="K65" s="28">
        <f>6.112*EXP(17.67*K63/(243.5+K63))*100</f>
        <v>1401.539270425093</v>
      </c>
      <c r="L65" s="2" t="s">
        <v>33</v>
      </c>
      <c r="M65" s="2"/>
      <c r="N65" s="2"/>
      <c r="O65" s="2"/>
      <c r="P65" s="2"/>
      <c r="Q65" s="2"/>
      <c r="R65" s="2"/>
    </row>
    <row r="66" spans="1:18">
      <c r="A66" s="2" t="s">
        <v>71</v>
      </c>
      <c r="B66" s="2">
        <v>12</v>
      </c>
      <c r="C66" s="2" t="s">
        <v>8</v>
      </c>
      <c r="D66" s="2"/>
      <c r="E66" s="2"/>
      <c r="F66" s="2"/>
      <c r="G66" s="2"/>
      <c r="H66" s="2"/>
      <c r="I66" s="2"/>
      <c r="J66" s="2" t="s">
        <v>91</v>
      </c>
      <c r="K66" s="18">
        <f>0.622*K64/100*K65/(101325-K64/100*K65)</f>
        <v>8.7242517406764426E-3</v>
      </c>
      <c r="L66" s="2" t="s">
        <v>19</v>
      </c>
      <c r="M66" s="2"/>
      <c r="N66" s="2"/>
      <c r="O66" s="2"/>
      <c r="P66" s="2"/>
      <c r="Q66" s="2"/>
      <c r="R66" s="2"/>
    </row>
    <row r="67" spans="1:18">
      <c r="A67" s="2" t="s">
        <v>90</v>
      </c>
      <c r="B67" s="2">
        <v>100</v>
      </c>
      <c r="C67" s="2" t="s">
        <v>3</v>
      </c>
      <c r="D67" s="2"/>
      <c r="E67" s="2"/>
      <c r="F67" s="2"/>
      <c r="G67" s="2"/>
      <c r="H67" s="2"/>
      <c r="I67" s="2"/>
      <c r="J67" s="2" t="s">
        <v>92</v>
      </c>
      <c r="K67" s="7">
        <f>1.006*K63+K66*(2501+1.87*K63)</f>
        <v>34.087125812492559</v>
      </c>
      <c r="L67" s="2" t="s">
        <v>21</v>
      </c>
      <c r="M67" s="2"/>
      <c r="N67" s="2"/>
      <c r="O67" s="2"/>
      <c r="P67" s="2"/>
      <c r="Q67" s="2"/>
      <c r="R67" s="2"/>
    </row>
    <row r="68" spans="1:18">
      <c r="A68" s="2" t="s">
        <v>89</v>
      </c>
      <c r="B68" s="11">
        <f>0.0496965*B66^3+0.979515*B66^2+46.9035*B66+609.484</f>
        <v>1399.251712</v>
      </c>
      <c r="C68" s="2" t="s">
        <v>33</v>
      </c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</row>
    <row r="69" spans="1:18">
      <c r="A69" s="2" t="s">
        <v>91</v>
      </c>
      <c r="B69" s="18">
        <f>0.622*B67/100*B68/(101325-B67/100*B68)</f>
        <v>8.709812833781078E-3</v>
      </c>
      <c r="C69" s="2" t="s">
        <v>19</v>
      </c>
      <c r="D69" s="2"/>
      <c r="E69" s="2"/>
      <c r="F69" s="2"/>
      <c r="G69" s="2"/>
      <c r="H69" s="2"/>
      <c r="I69" s="2"/>
      <c r="J69" s="1" t="s">
        <v>93</v>
      </c>
      <c r="K69" s="2"/>
      <c r="L69" s="2"/>
      <c r="M69" s="2"/>
      <c r="N69" s="2"/>
      <c r="O69" s="2"/>
      <c r="P69" s="2"/>
      <c r="Q69" s="2"/>
      <c r="R69" s="2"/>
    </row>
    <row r="70" spans="1:18">
      <c r="A70" s="2" t="s">
        <v>92</v>
      </c>
      <c r="B70" s="7">
        <f>1.006*B66+B69*(2501+1.805*B66)</f>
        <v>34.043896443266171</v>
      </c>
      <c r="C70" s="2" t="s">
        <v>21</v>
      </c>
      <c r="D70" s="2"/>
      <c r="E70" s="2"/>
      <c r="F70" s="2"/>
      <c r="G70" s="2"/>
      <c r="H70" s="2"/>
      <c r="I70" s="2"/>
      <c r="J70" s="2" t="s">
        <v>74</v>
      </c>
      <c r="K70" s="17">
        <f>17.3</f>
        <v>17.3</v>
      </c>
      <c r="L70" s="2" t="s">
        <v>8</v>
      </c>
      <c r="M70" s="2" t="s">
        <v>78</v>
      </c>
      <c r="N70" s="10">
        <f>(K70-K63)/(K58-K63)</f>
        <v>0.36716381701883377</v>
      </c>
      <c r="O70" s="2"/>
      <c r="P70" s="2"/>
      <c r="Q70" s="2"/>
      <c r="R70" s="2"/>
    </row>
    <row r="71" spans="1:18">
      <c r="A71" s="2"/>
      <c r="B71" s="2"/>
      <c r="C71" s="2"/>
      <c r="D71" s="2"/>
      <c r="E71" s="2"/>
      <c r="F71" s="2"/>
      <c r="G71" s="2"/>
      <c r="H71" s="2"/>
      <c r="I71" s="2"/>
      <c r="J71" s="2" t="s">
        <v>77</v>
      </c>
      <c r="K71" s="17">
        <v>78</v>
      </c>
      <c r="L71" s="2" t="s">
        <v>3</v>
      </c>
      <c r="M71" s="12" t="s">
        <v>94</v>
      </c>
      <c r="N71" s="2"/>
      <c r="O71" s="2"/>
      <c r="P71" s="2"/>
      <c r="Q71" s="2"/>
      <c r="R71" s="2"/>
    </row>
    <row r="72" spans="1:18">
      <c r="A72" s="1" t="s">
        <v>93</v>
      </c>
      <c r="B72" s="2"/>
      <c r="C72" s="2"/>
      <c r="D72" s="2"/>
      <c r="E72" s="2"/>
      <c r="F72" s="2"/>
      <c r="G72" s="2"/>
      <c r="H72" s="2"/>
      <c r="I72" s="2"/>
      <c r="J72" s="2" t="s">
        <v>18</v>
      </c>
      <c r="K72" s="28">
        <f>6.112*EXP(17.67*K70/(243.5+K70))*100</f>
        <v>1973.4771277294826</v>
      </c>
      <c r="L72" s="2" t="s">
        <v>33</v>
      </c>
      <c r="M72" s="2"/>
      <c r="N72" s="2"/>
      <c r="O72" s="2"/>
      <c r="P72" s="2"/>
      <c r="Q72" s="2"/>
      <c r="R72" s="2"/>
    </row>
    <row r="73" spans="1:18">
      <c r="A73" s="2" t="s">
        <v>74</v>
      </c>
      <c r="B73" s="17">
        <f>17.3</f>
        <v>17.3</v>
      </c>
      <c r="C73" s="2" t="s">
        <v>8</v>
      </c>
      <c r="D73" s="2" t="s">
        <v>78</v>
      </c>
      <c r="E73" s="10">
        <f>(B73-B66)/(B58-B66)</f>
        <v>0.36716381701883377</v>
      </c>
      <c r="F73" s="2"/>
      <c r="G73" s="2"/>
      <c r="H73" s="2"/>
      <c r="I73" s="2"/>
      <c r="J73" s="2" t="s">
        <v>75</v>
      </c>
      <c r="K73" s="18">
        <f>0.622*K71/100*K72/(101325-K71/100*K72)</f>
        <v>9.5950850669175077E-3</v>
      </c>
      <c r="L73" s="2" t="s">
        <v>19</v>
      </c>
      <c r="M73" s="2"/>
      <c r="N73" s="2"/>
      <c r="O73" s="2"/>
      <c r="P73" s="2"/>
      <c r="Q73" s="2"/>
      <c r="R73" s="2"/>
    </row>
    <row r="74" spans="1:18">
      <c r="A74" s="2" t="s">
        <v>77</v>
      </c>
      <c r="B74" s="17">
        <v>77.5</v>
      </c>
      <c r="C74" s="2" t="s">
        <v>3</v>
      </c>
      <c r="D74" s="12" t="s">
        <v>94</v>
      </c>
      <c r="E74" s="2"/>
      <c r="F74" s="2"/>
      <c r="G74" s="2"/>
      <c r="H74" s="2"/>
      <c r="I74" s="2"/>
      <c r="J74" s="2" t="s">
        <v>76</v>
      </c>
      <c r="K74" s="7">
        <f>1.006*K70+K73*(2501+1.87*K70)</f>
        <v>41.711518349360531</v>
      </c>
      <c r="L74" s="2" t="s">
        <v>21</v>
      </c>
      <c r="M74" s="2"/>
      <c r="N74" s="2"/>
      <c r="O74" s="2"/>
      <c r="P74" s="16"/>
      <c r="Q74" s="2"/>
      <c r="R74" s="2"/>
    </row>
    <row r="75" spans="1:18">
      <c r="A75" s="2" t="s">
        <v>18</v>
      </c>
      <c r="B75" s="11">
        <f>0.0496965*B73^3+0.979515*B73^2+46.9035*B73+609.484</f>
        <v>1971.3880072405</v>
      </c>
      <c r="C75" s="2" t="s">
        <v>33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</row>
    <row r="76" spans="1:18">
      <c r="A76" s="2" t="s">
        <v>75</v>
      </c>
      <c r="B76" s="18">
        <f>0.622*B74/100*B75/(101325-B74/100*B75)</f>
        <v>9.5223897430903193E-3</v>
      </c>
      <c r="C76" s="2" t="s">
        <v>19</v>
      </c>
      <c r="D76" s="2"/>
      <c r="E76" s="2"/>
      <c r="F76" s="2"/>
      <c r="G76" s="2"/>
      <c r="H76" s="2"/>
      <c r="I76" s="2"/>
      <c r="J76" s="1" t="s">
        <v>79</v>
      </c>
      <c r="K76" s="2"/>
      <c r="L76" s="2"/>
      <c r="M76" s="1" t="s">
        <v>84</v>
      </c>
      <c r="N76" s="2"/>
      <c r="O76" s="2"/>
      <c r="P76" s="2"/>
      <c r="Q76" s="2"/>
      <c r="R76" s="2"/>
    </row>
    <row r="77" spans="1:18">
      <c r="A77" s="2" t="s">
        <v>76</v>
      </c>
      <c r="B77" s="7">
        <f>1.006*B73+B76*(2501+1.805*B73)</f>
        <v>41.516647650781501</v>
      </c>
      <c r="C77" s="2" t="s">
        <v>21</v>
      </c>
      <c r="D77" s="2"/>
      <c r="E77" s="2"/>
      <c r="F77" s="2"/>
      <c r="G77" s="16"/>
      <c r="H77" s="2"/>
      <c r="I77" s="2"/>
      <c r="J77" s="2" t="s">
        <v>80</v>
      </c>
      <c r="K77" s="14">
        <f>K54*(K59-K74)</f>
        <v>72.683720370591956</v>
      </c>
      <c r="L77" s="2" t="s">
        <v>83</v>
      </c>
      <c r="M77" s="2" t="s">
        <v>85</v>
      </c>
      <c r="N77" s="8">
        <f>K54*(K60-K40)</f>
        <v>6.8218551870334642E-3</v>
      </c>
      <c r="O77" s="2" t="s">
        <v>17</v>
      </c>
      <c r="P77" s="6">
        <f>N77*3600</f>
        <v>24.558678673320472</v>
      </c>
      <c r="Q77" s="2" t="s">
        <v>60</v>
      </c>
      <c r="R77" s="2"/>
    </row>
    <row r="78" spans="1:18">
      <c r="A78" s="2"/>
      <c r="B78" s="2"/>
      <c r="C78" s="2"/>
      <c r="D78" s="2"/>
      <c r="E78" s="2"/>
      <c r="F78" s="2"/>
      <c r="G78" s="2"/>
      <c r="H78" s="2"/>
      <c r="I78" s="2"/>
      <c r="J78" s="2"/>
      <c r="K78" s="3"/>
      <c r="L78" s="2"/>
      <c r="M78" s="2"/>
      <c r="N78" s="2"/>
      <c r="O78" s="2"/>
      <c r="P78" s="2"/>
      <c r="Q78" s="2"/>
      <c r="R78" s="2"/>
    </row>
    <row r="79" spans="1:18">
      <c r="A79" s="1" t="s">
        <v>79</v>
      </c>
      <c r="B79" s="2"/>
      <c r="C79" s="2"/>
      <c r="D79" s="1" t="s">
        <v>133</v>
      </c>
      <c r="E79" s="2"/>
      <c r="F79" s="2"/>
      <c r="G79" s="2"/>
      <c r="H79" s="2"/>
      <c r="I79" s="2"/>
      <c r="J79" s="1" t="s">
        <v>81</v>
      </c>
      <c r="K79" s="3"/>
      <c r="L79" s="2"/>
      <c r="M79" s="2"/>
      <c r="N79" s="2"/>
      <c r="O79" s="2"/>
      <c r="P79" s="2"/>
      <c r="Q79" s="2"/>
      <c r="R79" s="2"/>
    </row>
    <row r="80" spans="1:18">
      <c r="A80" s="2" t="s">
        <v>80</v>
      </c>
      <c r="B80" s="14">
        <f>B54*(B59-B77)</f>
        <v>73.671699559287347</v>
      </c>
      <c r="C80" s="2" t="s">
        <v>83</v>
      </c>
      <c r="D80" s="2" t="s">
        <v>85</v>
      </c>
      <c r="E80" s="8">
        <f>B54*(B60-B40)</f>
        <v>6.7297797393538368E-3</v>
      </c>
      <c r="F80" s="2" t="s">
        <v>17</v>
      </c>
      <c r="G80" s="6">
        <f>E80*3600</f>
        <v>24.227207061673813</v>
      </c>
      <c r="H80" s="2" t="s">
        <v>60</v>
      </c>
      <c r="I80" s="2"/>
      <c r="J80" s="2" t="s">
        <v>82</v>
      </c>
      <c r="K80" s="14">
        <f>K54*(K43-K74)</f>
        <v>3.1638745348704234</v>
      </c>
      <c r="L80" s="2" t="s">
        <v>83</v>
      </c>
      <c r="M80" s="2"/>
      <c r="N80" s="2"/>
      <c r="O80" s="2"/>
      <c r="P80" s="2"/>
      <c r="Q80" s="2"/>
      <c r="R80" s="2"/>
    </row>
    <row r="81" spans="1:18">
      <c r="A81" s="2"/>
      <c r="B81" s="3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</row>
    <row r="82" spans="1:18">
      <c r="A82" s="1" t="s">
        <v>81</v>
      </c>
      <c r="B82" s="3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</row>
    <row r="83" spans="1:18">
      <c r="A83" s="2" t="s">
        <v>82</v>
      </c>
      <c r="B83" s="14">
        <f>B54*(B43-B77)</f>
        <v>4.4989079860445536</v>
      </c>
      <c r="C83" s="2" t="s">
        <v>83</v>
      </c>
      <c r="D83" s="2"/>
      <c r="E83" s="2"/>
      <c r="F83" s="2"/>
      <c r="G83" s="2"/>
      <c r="H83" s="2"/>
      <c r="I83" s="2"/>
      <c r="J83" s="1" t="s">
        <v>98</v>
      </c>
      <c r="K83" s="2"/>
      <c r="L83" s="2"/>
      <c r="M83" s="2"/>
      <c r="N83" s="2"/>
      <c r="O83" s="2"/>
      <c r="P83" s="2"/>
      <c r="Q83" s="2"/>
      <c r="R83" s="2"/>
    </row>
    <row r="84" spans="1:18">
      <c r="A84" s="2"/>
      <c r="B84" s="2"/>
      <c r="C84" s="2"/>
      <c r="D84" s="2"/>
      <c r="E84" s="2"/>
      <c r="F84" s="2"/>
      <c r="G84" s="2"/>
      <c r="H84" s="2"/>
      <c r="I84" s="2"/>
      <c r="J84" s="2" t="s">
        <v>99</v>
      </c>
      <c r="K84" s="19">
        <f>K40*1000</f>
        <v>9.5240123912096593</v>
      </c>
      <c r="L84" s="2" t="s">
        <v>112</v>
      </c>
      <c r="M84" s="2"/>
      <c r="N84" s="2"/>
      <c r="O84" s="2"/>
      <c r="P84" s="2"/>
      <c r="Q84" s="2"/>
      <c r="R84" s="2"/>
    </row>
    <row r="85" spans="1:18">
      <c r="A85" s="2"/>
      <c r="B85" s="2"/>
      <c r="C85" s="2"/>
      <c r="D85" s="2"/>
      <c r="E85" s="2"/>
      <c r="F85" s="2"/>
      <c r="G85" s="2"/>
      <c r="H85" s="2"/>
      <c r="I85" s="2"/>
      <c r="J85" s="2" t="s">
        <v>105</v>
      </c>
      <c r="K85" s="2">
        <v>0.37</v>
      </c>
      <c r="L85" s="2"/>
      <c r="M85" s="2"/>
      <c r="N85" s="2"/>
      <c r="O85" s="2"/>
      <c r="P85" s="2"/>
      <c r="Q85" s="2"/>
      <c r="R85" s="2"/>
    </row>
    <row r="86" spans="1:18">
      <c r="A86" s="1" t="s">
        <v>98</v>
      </c>
      <c r="B86" s="2"/>
      <c r="C86" s="2"/>
      <c r="D86" s="2"/>
      <c r="E86" s="2"/>
      <c r="F86" s="2"/>
      <c r="G86" s="2"/>
      <c r="H86" s="2"/>
      <c r="I86" s="2"/>
      <c r="J86" s="2" t="s">
        <v>69</v>
      </c>
      <c r="K86" s="6">
        <f>K54</f>
        <v>6.0210167566032373</v>
      </c>
      <c r="L86" s="2"/>
      <c r="M86" s="2"/>
      <c r="N86" s="2"/>
      <c r="O86" s="2"/>
      <c r="P86" s="2"/>
      <c r="Q86" s="2"/>
      <c r="R86" s="2"/>
    </row>
    <row r="87" spans="1:18">
      <c r="A87" s="2" t="s">
        <v>99</v>
      </c>
      <c r="B87" s="19">
        <f>B40*1000</f>
        <v>9.5346136591099349</v>
      </c>
      <c r="C87" s="2" t="s">
        <v>112</v>
      </c>
      <c r="D87" s="2"/>
      <c r="E87" s="2"/>
      <c r="F87" s="2"/>
      <c r="G87" s="2"/>
      <c r="H87" s="2"/>
      <c r="I87" s="2"/>
      <c r="J87" s="2" t="s">
        <v>107</v>
      </c>
      <c r="K87" s="6">
        <f>K86*(1-K85)</f>
        <v>3.7932405566600393</v>
      </c>
      <c r="L87" s="2" t="s">
        <v>109</v>
      </c>
      <c r="M87" s="2"/>
      <c r="N87" s="2"/>
      <c r="O87" s="2"/>
      <c r="P87" s="2"/>
      <c r="Q87" s="2"/>
      <c r="R87" s="2"/>
    </row>
    <row r="88" spans="1:18">
      <c r="A88" s="2" t="s">
        <v>105</v>
      </c>
      <c r="B88" s="2">
        <v>0.42</v>
      </c>
      <c r="C88" s="2"/>
      <c r="D88" s="2"/>
      <c r="E88" s="2"/>
      <c r="F88" s="2"/>
      <c r="G88" s="2"/>
      <c r="H88" s="2"/>
      <c r="I88" s="2"/>
      <c r="J88" s="2" t="s">
        <v>108</v>
      </c>
      <c r="K88" s="6">
        <f>K86*K85</f>
        <v>2.227776199943198</v>
      </c>
      <c r="L88" s="2" t="s">
        <v>109</v>
      </c>
      <c r="M88" s="2"/>
      <c r="N88" s="2"/>
      <c r="O88" s="2"/>
      <c r="Q88" s="2"/>
      <c r="R88" s="2"/>
    </row>
    <row r="89" spans="1:18">
      <c r="A89" s="2" t="s">
        <v>69</v>
      </c>
      <c r="B89" s="6">
        <f>B54</f>
        <v>6.0210167566032373</v>
      </c>
      <c r="C89" s="2"/>
      <c r="D89" s="2"/>
      <c r="E89" s="2"/>
      <c r="F89" s="2"/>
      <c r="G89" s="2"/>
      <c r="H89" s="2"/>
      <c r="I89" s="2"/>
      <c r="J89" s="33" t="s">
        <v>99</v>
      </c>
      <c r="K89" s="33">
        <f>(K87*K66+K88*K60)/K86*1000</f>
        <v>9.4393758361855991</v>
      </c>
      <c r="L89" s="33" t="s">
        <v>113</v>
      </c>
      <c r="M89" s="33"/>
      <c r="N89" s="33"/>
      <c r="O89" s="2" t="s">
        <v>121</v>
      </c>
      <c r="P89" s="2"/>
      <c r="Q89" s="2"/>
      <c r="R89" s="2"/>
    </row>
    <row r="90" spans="1:18">
      <c r="A90" s="2" t="s">
        <v>107</v>
      </c>
      <c r="B90" s="6">
        <f>B89*(1-B88)</f>
        <v>3.4921897188298781</v>
      </c>
      <c r="C90" s="2" t="s">
        <v>109</v>
      </c>
      <c r="D90" s="2"/>
      <c r="E90" s="2"/>
      <c r="F90" s="2"/>
      <c r="G90" s="2"/>
      <c r="H90" s="2"/>
      <c r="I90" s="2"/>
      <c r="J90" s="2" t="s">
        <v>74</v>
      </c>
      <c r="K90" s="2">
        <f>(K58*K88+K63*K87)/K86</f>
        <v>17.340940226415093</v>
      </c>
      <c r="L90" s="2"/>
      <c r="M90" s="2"/>
      <c r="N90" s="2"/>
      <c r="O90" s="2"/>
      <c r="P90" s="2"/>
      <c r="Q90" s="2"/>
      <c r="R90" s="2"/>
    </row>
    <row r="91" spans="1:18">
      <c r="A91" s="2" t="s">
        <v>108</v>
      </c>
      <c r="B91" s="6">
        <f>B89*B88</f>
        <v>2.5288270377733597</v>
      </c>
      <c r="C91" s="2" t="s">
        <v>109</v>
      </c>
      <c r="D91" s="2"/>
      <c r="E91" s="2"/>
      <c r="F91" s="2"/>
      <c r="H91" s="2"/>
      <c r="I91" s="2"/>
      <c r="J91" s="2" t="s">
        <v>110</v>
      </c>
      <c r="K91" s="4">
        <f>0.0496965*K90^3+0.979515*K90^2+46.9035*K90+609.484</f>
        <v>1976.5285232882752</v>
      </c>
      <c r="L91" s="2"/>
      <c r="M91" s="2"/>
      <c r="N91" s="2"/>
      <c r="O91" s="2"/>
      <c r="P91" s="2"/>
      <c r="Q91" s="2"/>
      <c r="R91" s="2"/>
    </row>
    <row r="92" spans="1:18">
      <c r="A92" s="2" t="s">
        <v>99</v>
      </c>
      <c r="B92" s="2">
        <f>(B90*B69+B91*B60)/B89*1000</f>
        <v>9.525669410331993</v>
      </c>
      <c r="C92" s="2" t="s">
        <v>113</v>
      </c>
      <c r="D92" s="2"/>
      <c r="E92" s="2"/>
      <c r="F92" s="2"/>
      <c r="G92" s="2"/>
      <c r="H92" s="2"/>
      <c r="I92" s="2"/>
      <c r="J92" s="2" t="s">
        <v>111</v>
      </c>
      <c r="K92" s="4">
        <f>101325*(K89/1000)/(0.622+K89/1000)</f>
        <v>1514.7055967723441</v>
      </c>
      <c r="L92" s="2"/>
      <c r="M92" s="2"/>
      <c r="N92" s="2"/>
      <c r="O92" s="2"/>
      <c r="P92" s="2"/>
      <c r="Q92" s="2"/>
      <c r="R92" s="2"/>
    </row>
    <row r="93" spans="1:18">
      <c r="A93" s="2" t="s">
        <v>74</v>
      </c>
      <c r="B93" s="2">
        <f>(B58*B91+B66*B90)/B89</f>
        <v>18.062688905660377</v>
      </c>
      <c r="C93" s="2"/>
      <c r="D93" s="2"/>
      <c r="E93" s="2"/>
      <c r="F93" s="2"/>
      <c r="G93" s="2"/>
      <c r="H93" s="2"/>
      <c r="I93" s="2"/>
      <c r="J93" s="2" t="s">
        <v>49</v>
      </c>
      <c r="K93" s="3">
        <f>K92/K91*100</f>
        <v>76.634643969234801</v>
      </c>
      <c r="L93" s="2"/>
      <c r="M93" s="2"/>
      <c r="N93" s="2"/>
      <c r="O93" s="2"/>
      <c r="P93" s="2"/>
      <c r="Q93" s="2"/>
      <c r="R93" s="2"/>
    </row>
    <row r="94" spans="1:18">
      <c r="A94" s="2" t="s">
        <v>110</v>
      </c>
      <c r="B94" s="4">
        <f>0.0496965*B93^3+0.979515*B93^2+46.9035*B93+609.484</f>
        <v>2069.1333425506878</v>
      </c>
      <c r="C94" s="2"/>
      <c r="D94" s="2"/>
      <c r="E94" s="2"/>
      <c r="F94" s="2"/>
      <c r="G94" s="2"/>
      <c r="H94" s="2"/>
      <c r="I94" s="2"/>
    </row>
    <row r="95" spans="1:18">
      <c r="A95" s="2" t="s">
        <v>111</v>
      </c>
      <c r="B95" s="4">
        <f>101325*(B92/1000)/(0.622+B92/1000)</f>
        <v>1528.3439767430275</v>
      </c>
      <c r="C95" s="2"/>
      <c r="D95" s="2"/>
      <c r="E95" s="2"/>
      <c r="F95" s="2"/>
      <c r="G95" s="2"/>
      <c r="H95" s="2"/>
      <c r="I95" s="2"/>
    </row>
    <row r="96" spans="1:18">
      <c r="A96" s="2" t="s">
        <v>49</v>
      </c>
      <c r="B96" s="3">
        <f>B95/B94*100</f>
        <v>73.863967358381473</v>
      </c>
      <c r="C96" s="2"/>
      <c r="D96" s="2"/>
      <c r="E96" s="2"/>
      <c r="F96" s="2"/>
      <c r="G96" s="2"/>
      <c r="H96" s="2"/>
      <c r="I96" s="2"/>
    </row>
    <row r="97" spans="1:9">
      <c r="A97" s="2"/>
      <c r="B97" s="2"/>
      <c r="C97" s="2"/>
      <c r="D97" s="2"/>
      <c r="E97" s="2"/>
      <c r="F97" s="2"/>
      <c r="G97" s="2"/>
      <c r="H97" s="2"/>
      <c r="I97" s="2"/>
    </row>
    <row r="98" spans="1:9">
      <c r="A98" s="2"/>
      <c r="B98" s="2"/>
      <c r="C98" s="2"/>
      <c r="D98" s="2"/>
      <c r="E98" s="2"/>
      <c r="F98" s="2"/>
      <c r="G98" s="2"/>
      <c r="H98" s="2"/>
      <c r="I98" s="2"/>
    </row>
    <row r="99" spans="1:9">
      <c r="A99" s="2"/>
      <c r="B99" s="2"/>
      <c r="C99" s="2"/>
      <c r="D99" s="2"/>
      <c r="E99" s="2"/>
      <c r="F99" s="2"/>
      <c r="G99" s="2"/>
      <c r="H99" s="2"/>
      <c r="I99" s="2"/>
    </row>
  </sheetData>
  <pageMargins left="0.25" right="0.25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2020-11-18T17:49:39Z</cp:lastPrinted>
  <dcterms:created xsi:type="dcterms:W3CDTF">2020-11-17T10:40:44Z</dcterms:created>
  <dcterms:modified xsi:type="dcterms:W3CDTF">2020-11-24T10:36:59Z</dcterms:modified>
</cp:coreProperties>
</file>