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60" windowWidth="27740" windowHeight="12290" activeTab="1"/>
  </bookViews>
  <sheets>
    <sheet name="Piegatura" sheetId="9" r:id="rId1"/>
    <sheet name="Foratura" sheetId="8" r:id="rId2"/>
    <sheet name="Piagatura V" sheetId="7" r:id="rId3"/>
  </sheets>
  <calcPr calcId="125725"/>
</workbook>
</file>

<file path=xl/calcChain.xml><?xml version="1.0" encoding="utf-8"?>
<calcChain xmlns="http://schemas.openxmlformats.org/spreadsheetml/2006/main">
  <c r="K45" i="9"/>
  <c r="K46" s="1"/>
  <c r="K47" s="1"/>
  <c r="K40"/>
  <c r="K23"/>
  <c r="K24" s="1"/>
  <c r="K25" s="1"/>
  <c r="K18"/>
  <c r="K7"/>
  <c r="K9" s="1"/>
  <c r="K13" s="1"/>
  <c r="K14" s="1"/>
  <c r="M14" s="1"/>
  <c r="K14" i="8"/>
  <c r="K17" s="1"/>
  <c r="K13"/>
  <c r="K27" s="1"/>
  <c r="K29" s="1"/>
  <c r="K91"/>
  <c r="K90"/>
  <c r="K82"/>
  <c r="K83" s="1"/>
  <c r="K81"/>
  <c r="K80"/>
  <c r="K78"/>
  <c r="K79" s="1"/>
  <c r="K74"/>
  <c r="K71"/>
  <c r="K56"/>
  <c r="K52"/>
  <c r="N31"/>
  <c r="M31"/>
  <c r="K31"/>
  <c r="N27"/>
  <c r="N29" s="1"/>
  <c r="N33" s="1"/>
  <c r="N35" s="1"/>
  <c r="M27"/>
  <c r="M29" s="1"/>
  <c r="M33" s="1"/>
  <c r="M35" s="1"/>
  <c r="N25"/>
  <c r="M25"/>
  <c r="K25"/>
  <c r="N17"/>
  <c r="N19" s="1"/>
  <c r="N21" s="1"/>
  <c r="N22" s="1"/>
  <c r="M17"/>
  <c r="M19" s="1"/>
  <c r="M21" s="1"/>
  <c r="M22" s="1"/>
  <c r="C74"/>
  <c r="C56"/>
  <c r="C71"/>
  <c r="C13"/>
  <c r="C27" s="1"/>
  <c r="C17"/>
  <c r="C90"/>
  <c r="C91" s="1"/>
  <c r="C82"/>
  <c r="C83" s="1"/>
  <c r="C80"/>
  <c r="C81" s="1"/>
  <c r="C78"/>
  <c r="C79" s="1"/>
  <c r="C45" i="9"/>
  <c r="C46" s="1"/>
  <c r="C47" s="1"/>
  <c r="C40"/>
  <c r="C23"/>
  <c r="C24" s="1"/>
  <c r="C25" s="1"/>
  <c r="C18"/>
  <c r="C7"/>
  <c r="C9" s="1"/>
  <c r="C52" i="8"/>
  <c r="C58" s="1"/>
  <c r="C59" s="1"/>
  <c r="F31"/>
  <c r="E31"/>
  <c r="C31"/>
  <c r="F27"/>
  <c r="F29" s="1"/>
  <c r="E27"/>
  <c r="E29" s="1"/>
  <c r="F25"/>
  <c r="E25"/>
  <c r="C25"/>
  <c r="F17"/>
  <c r="F19" s="1"/>
  <c r="F21" s="1"/>
  <c r="F22" s="1"/>
  <c r="E17"/>
  <c r="E19" s="1"/>
  <c r="E21" s="1"/>
  <c r="E22" s="1"/>
  <c r="C31" i="7"/>
  <c r="C30"/>
  <c r="C29"/>
  <c r="C28"/>
  <c r="C24"/>
  <c r="C23"/>
  <c r="C20"/>
  <c r="C8"/>
  <c r="C10" s="1"/>
  <c r="K28" i="9" l="1"/>
  <c r="K54"/>
  <c r="K56" s="1"/>
  <c r="M56" s="1"/>
  <c r="K59" s="1"/>
  <c r="K33"/>
  <c r="K19" i="8"/>
  <c r="K21" s="1"/>
  <c r="K22" s="1"/>
  <c r="K53" s="1"/>
  <c r="K98" s="1"/>
  <c r="K100" s="1"/>
  <c r="M100" s="1"/>
  <c r="K103" s="1"/>
  <c r="K33"/>
  <c r="K35" s="1"/>
  <c r="K37"/>
  <c r="K84"/>
  <c r="M37"/>
  <c r="M42" s="1"/>
  <c r="M44" s="1"/>
  <c r="M45" s="1"/>
  <c r="N37"/>
  <c r="N42" s="1"/>
  <c r="N44" s="1"/>
  <c r="N45" s="1"/>
  <c r="K58"/>
  <c r="K59" s="1"/>
  <c r="C29"/>
  <c r="C33" s="1"/>
  <c r="C35" s="1"/>
  <c r="C19"/>
  <c r="C21" s="1"/>
  <c r="C22" s="1"/>
  <c r="C53" s="1"/>
  <c r="C98" s="1"/>
  <c r="C100" s="1"/>
  <c r="E100" s="1"/>
  <c r="C103" s="1"/>
  <c r="C84"/>
  <c r="C33" i="9"/>
  <c r="C13"/>
  <c r="C14" s="1"/>
  <c r="E14" s="1"/>
  <c r="C28"/>
  <c r="C54"/>
  <c r="C56" s="1"/>
  <c r="E56" s="1"/>
  <c r="C59" s="1"/>
  <c r="E37" i="8"/>
  <c r="E42" s="1"/>
  <c r="E44" s="1"/>
  <c r="E45" s="1"/>
  <c r="E33"/>
  <c r="E35" s="1"/>
  <c r="F33"/>
  <c r="F35" s="1"/>
  <c r="F37"/>
  <c r="F42" s="1"/>
  <c r="F44" s="1"/>
  <c r="F45" s="1"/>
  <c r="C14" i="7"/>
  <c r="C15" s="1"/>
  <c r="C16" s="1"/>
  <c r="C34"/>
  <c r="K35" i="9" l="1"/>
  <c r="K36" s="1"/>
  <c r="M36" s="1"/>
  <c r="K49"/>
  <c r="K60" i="8"/>
  <c r="K64" s="1"/>
  <c r="K66" s="1"/>
  <c r="K67" s="1"/>
  <c r="M67" s="1"/>
  <c r="K42"/>
  <c r="K44" s="1"/>
  <c r="K45" s="1"/>
  <c r="K93"/>
  <c r="K92"/>
  <c r="C37"/>
  <c r="C42" s="1"/>
  <c r="C44" s="1"/>
  <c r="C45" s="1"/>
  <c r="C93"/>
  <c r="C92"/>
  <c r="C35" i="9"/>
  <c r="C36" s="1"/>
  <c r="E36" s="1"/>
  <c r="C49"/>
  <c r="C60" i="8" l="1"/>
  <c r="C64" s="1"/>
  <c r="C66" s="1"/>
  <c r="C67" s="1"/>
  <c r="E67" s="1"/>
</calcChain>
</file>

<file path=xl/sharedStrings.xml><?xml version="1.0" encoding="utf-8"?>
<sst xmlns="http://schemas.openxmlformats.org/spreadsheetml/2006/main" count="590" uniqueCount="163">
  <si>
    <t>mm</t>
  </si>
  <si>
    <t>°</t>
  </si>
  <si>
    <t>Materiale da forare</t>
  </si>
  <si>
    <t>N/mm2</t>
  </si>
  <si>
    <t>Avanzamento a</t>
  </si>
  <si>
    <t>mm/giro</t>
  </si>
  <si>
    <t>Vel. Taglio vt</t>
  </si>
  <si>
    <t>m/min</t>
  </si>
  <si>
    <t>giri/min</t>
  </si>
  <si>
    <t>Calcolo tempo di foratura</t>
  </si>
  <si>
    <t>min</t>
  </si>
  <si>
    <t>s</t>
  </si>
  <si>
    <t>Calcolo carico strappamento unitario del materiale</t>
  </si>
  <si>
    <t>mm2</t>
  </si>
  <si>
    <t>Calcolo sezione del truciolo asportata da 1 dente dalla punta</t>
  </si>
  <si>
    <t>S = (a/2)*(D/2)</t>
  </si>
  <si>
    <t>Calcolo forza di taglio su 1 dente</t>
  </si>
  <si>
    <t>F = Ks * S</t>
  </si>
  <si>
    <t>N</t>
  </si>
  <si>
    <t>n°= 1000 vt / 3,14 D</t>
  </si>
  <si>
    <t>Profondità foro  l</t>
  </si>
  <si>
    <t>Mt = F * b</t>
  </si>
  <si>
    <t>Calcolo braccio forza di taglio</t>
  </si>
  <si>
    <t>b= (0,45- 0,6) D</t>
  </si>
  <si>
    <t>Nm</t>
  </si>
  <si>
    <t>Calcolo forza assiale di penetrazione (resistenza all'avanzamento):</t>
  </si>
  <si>
    <t>pressione</t>
  </si>
  <si>
    <t>BAR</t>
  </si>
  <si>
    <t>Calcolo area cilindro pneumatico</t>
  </si>
  <si>
    <t>m2</t>
  </si>
  <si>
    <t>Calcolo dimatro del cilindro</t>
  </si>
  <si>
    <t>Utensile punta elicoidale in acciao superrapido</t>
  </si>
  <si>
    <t>D punta =</t>
  </si>
  <si>
    <t>Calcolo del Momento torcente da applicare</t>
  </si>
  <si>
    <t>Potenza ideale assorbita dal motore</t>
  </si>
  <si>
    <r>
      <t xml:space="preserve">Angolo </t>
    </r>
    <r>
      <rPr>
        <sz val="12"/>
        <color theme="1"/>
        <rFont val="Symbol"/>
        <family val="1"/>
        <charset val="2"/>
      </rPr>
      <t>b=</t>
    </r>
  </si>
  <si>
    <r>
      <t xml:space="preserve">P id. = Mt * </t>
    </r>
    <r>
      <rPr>
        <sz val="12"/>
        <color theme="1"/>
        <rFont val="Symbol"/>
        <family val="1"/>
        <charset val="2"/>
      </rPr>
      <t>w</t>
    </r>
  </si>
  <si>
    <r>
      <t>P = 2* D sen(</t>
    </r>
    <r>
      <rPr>
        <sz val="12"/>
        <color theme="1"/>
        <rFont val="Symbol"/>
        <family val="1"/>
        <charset val="2"/>
      </rPr>
      <t>b</t>
    </r>
    <r>
      <rPr>
        <sz val="12"/>
        <color theme="1"/>
        <rFont val="Calibri"/>
        <family val="2"/>
        <scheme val="minor"/>
      </rPr>
      <t>/2)</t>
    </r>
  </si>
  <si>
    <t>Ks = 5,5 * Rm</t>
  </si>
  <si>
    <t>Valori medi Parametri di taglio da tabelle:</t>
  </si>
  <si>
    <t>Velocità di avanzamento punta</t>
  </si>
  <si>
    <t>va = a * n</t>
  </si>
  <si>
    <t>mm/min</t>
  </si>
  <si>
    <r>
      <t>t = l + e +D / 2tg(</t>
    </r>
    <r>
      <rPr>
        <sz val="12"/>
        <color theme="1"/>
        <rFont val="Symbol"/>
        <family val="1"/>
        <charset val="2"/>
      </rPr>
      <t>b</t>
    </r>
    <r>
      <rPr>
        <sz val="12"/>
        <color theme="1"/>
        <rFont val="Calibri"/>
        <family val="2"/>
        <scheme val="minor"/>
      </rPr>
      <t>/2) / va</t>
    </r>
  </si>
  <si>
    <t>Extracorsa e = e1+e2=(3-4)mm</t>
  </si>
  <si>
    <t>A cilindro = P/p</t>
  </si>
  <si>
    <t>D cilindro = (4*A/3,14)^0,5</t>
  </si>
  <si>
    <t>Rm acciaio</t>
  </si>
  <si>
    <t>b</t>
  </si>
  <si>
    <t>F teorica</t>
  </si>
  <si>
    <t>k sicurezza</t>
  </si>
  <si>
    <t>Feff.</t>
  </si>
  <si>
    <t>Dimensionamento di massima del cilindro pneumatico</t>
  </si>
  <si>
    <t>p</t>
  </si>
  <si>
    <t>bar</t>
  </si>
  <si>
    <t>A</t>
  </si>
  <si>
    <t>D</t>
  </si>
  <si>
    <t>m</t>
  </si>
  <si>
    <t>Deff</t>
  </si>
  <si>
    <t>La forza massima ottenibile vale</t>
  </si>
  <si>
    <t>F max</t>
  </si>
  <si>
    <t>Pa</t>
  </si>
  <si>
    <t>Valutiamo ora le forze di inerzia in gioco</t>
  </si>
  <si>
    <t>m tot</t>
  </si>
  <si>
    <t>Kg</t>
  </si>
  <si>
    <t>massa tot. movimentata dal cilindro B</t>
  </si>
  <si>
    <t>c</t>
  </si>
  <si>
    <t>corsa</t>
  </si>
  <si>
    <t>v</t>
  </si>
  <si>
    <t>m/s</t>
  </si>
  <si>
    <t>velocità finale desiderata pistone</t>
  </si>
  <si>
    <t>t</t>
  </si>
  <si>
    <t>a</t>
  </si>
  <si>
    <t>m/s2</t>
  </si>
  <si>
    <t>accelerazione media</t>
  </si>
  <si>
    <t>Fa</t>
  </si>
  <si>
    <t>forza inerzia</t>
  </si>
  <si>
    <t>La forza complessiva che deve esercitare il cilindro A vale quindi:</t>
  </si>
  <si>
    <t>Essendo la forza &lt;= a quella massima il cilindro scelto va bene.</t>
  </si>
  <si>
    <t>PIEGATURA A V</t>
  </si>
  <si>
    <t>l</t>
  </si>
  <si>
    <t>Prendiamo un cilindro con  D=50mm e corsa=80mm</t>
  </si>
  <si>
    <t>massa tot. movimentata dal cilindro A</t>
  </si>
  <si>
    <t>FG</t>
  </si>
  <si>
    <t>tempo impiegato per fare ls corsa A+</t>
  </si>
  <si>
    <t>F resistente</t>
  </si>
  <si>
    <t>Fa - FG</t>
  </si>
  <si>
    <t>F tot A</t>
  </si>
  <si>
    <t>Acciao C40 con Rm</t>
  </si>
  <si>
    <t>max</t>
  </si>
  <si>
    <t>W</t>
  </si>
  <si>
    <t>Rm Al</t>
  </si>
  <si>
    <t>Velocità pistone (20kg)</t>
  </si>
  <si>
    <t>t corsa</t>
  </si>
  <si>
    <t>La forza massima ottenibile in spinta</t>
  </si>
  <si>
    <t>La forza di inerzia vale</t>
  </si>
  <si>
    <t>Fi</t>
  </si>
  <si>
    <t>Si sceglie il diametro dal grafico che garantisce l'ammortizzamento con la massa assegnata</t>
  </si>
  <si>
    <t>massa</t>
  </si>
  <si>
    <t>kg</t>
  </si>
  <si>
    <t>Ftot richiesta</t>
  </si>
  <si>
    <t>ok</t>
  </si>
  <si>
    <t>ro Al</t>
  </si>
  <si>
    <t>kg/m3</t>
  </si>
  <si>
    <t>kg mm4</t>
  </si>
  <si>
    <t>tempo rot. 180°</t>
  </si>
  <si>
    <t>angolo</t>
  </si>
  <si>
    <t>rad</t>
  </si>
  <si>
    <t>rad/s2</t>
  </si>
  <si>
    <t>omega</t>
  </si>
  <si>
    <t>rad/s</t>
  </si>
  <si>
    <t>Ec sviluppata</t>
  </si>
  <si>
    <t>Coppia motrice</t>
  </si>
  <si>
    <t>J</t>
  </si>
  <si>
    <t>J matrice</t>
  </si>
  <si>
    <t>J tavola</t>
  </si>
  <si>
    <t>J cilindro</t>
  </si>
  <si>
    <t>J tot</t>
  </si>
  <si>
    <t>Fissiamo il tempo di rotazione e poi verifichiamo il cilindro rotante</t>
  </si>
  <si>
    <t>Massa e momento inerzia tavola rotante</t>
  </si>
  <si>
    <t>m matrice</t>
  </si>
  <si>
    <t>m tavola</t>
  </si>
  <si>
    <t>m cilindro</t>
  </si>
  <si>
    <t>k sic.</t>
  </si>
  <si>
    <t>F tot</t>
  </si>
  <si>
    <t>f attrito</t>
  </si>
  <si>
    <t>F</t>
  </si>
  <si>
    <t>t  posiz.</t>
  </si>
  <si>
    <t>t rimoz</t>
  </si>
  <si>
    <t>t tot</t>
  </si>
  <si>
    <t>t ciclo</t>
  </si>
  <si>
    <t>n° pezzi</t>
  </si>
  <si>
    <t>ore</t>
  </si>
  <si>
    <t>€/h</t>
  </si>
  <si>
    <t>C attrez.</t>
  </si>
  <si>
    <t>€</t>
  </si>
  <si>
    <t>C tot</t>
  </si>
  <si>
    <t>t tot foratura</t>
  </si>
  <si>
    <t>Scelta CILINDRO di foratura</t>
  </si>
  <si>
    <t>Velocità pistone</t>
  </si>
  <si>
    <t>acc. Angolare</t>
  </si>
  <si>
    <t>modello R3K-25</t>
  </si>
  <si>
    <t>t tot ciclo</t>
  </si>
  <si>
    <t>tempo impiegato per fare la corsa</t>
  </si>
  <si>
    <t>massa tot. movimentata dal cilindro</t>
  </si>
  <si>
    <t>Calcolo forza di foratura</t>
  </si>
  <si>
    <t>Verifica cilindro foratura</t>
  </si>
  <si>
    <t>Scelta cilindri di bloccaggio</t>
  </si>
  <si>
    <t>Scelta cilindro rotante da ctalogo</t>
  </si>
  <si>
    <t>T ciclo foratura e preventivo commessa</t>
  </si>
  <si>
    <t>t rimozione</t>
  </si>
  <si>
    <t>C orario</t>
  </si>
  <si>
    <t>Alluminio con Rm</t>
  </si>
  <si>
    <t>Dimensionamento cilindro di bloccaggio</t>
  </si>
  <si>
    <t>Dimensionamento cilindro di piegatura</t>
  </si>
  <si>
    <t>Scelta cilindro rotante da catalogo</t>
  </si>
  <si>
    <t>Tempo ciclo piegatura e preventivo commessa</t>
  </si>
  <si>
    <t>Rm C40</t>
  </si>
  <si>
    <t>PIEGATURA A L LAMIERINI</t>
  </si>
  <si>
    <t>FORATURA LAMIERINI</t>
  </si>
  <si>
    <t>Si sceglie il diametro che garantisce l'ammortizzamento con la massa assegnata</t>
  </si>
  <si>
    <t>ALLUMINIO</t>
  </si>
  <si>
    <t>ACCIAIO</t>
  </si>
</sst>
</file>

<file path=xl/styles.xml><?xml version="1.0" encoding="utf-8"?>
<styleSheet xmlns="http://schemas.openxmlformats.org/spreadsheetml/2006/main">
  <numFmts count="3">
    <numFmt numFmtId="164" formatCode="0.0"/>
    <numFmt numFmtId="165" formatCode="0.0000"/>
    <numFmt numFmtId="166" formatCode="0.000"/>
  </numFmts>
  <fonts count="9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Symbol"/>
      <family val="1"/>
      <charset val="2"/>
    </font>
    <font>
      <b/>
      <sz val="1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2" borderId="0" xfId="0" applyFont="1" applyFill="1"/>
    <xf numFmtId="0" fontId="2" fillId="2" borderId="0" xfId="0" applyFont="1" applyFill="1"/>
    <xf numFmtId="164" fontId="2" fillId="2" borderId="0" xfId="0" applyNumberFormat="1" applyFont="1" applyFill="1"/>
    <xf numFmtId="2" fontId="2" fillId="2" borderId="0" xfId="0" applyNumberFormat="1" applyFont="1" applyFill="1"/>
    <xf numFmtId="0" fontId="4" fillId="2" borderId="0" xfId="0" applyFont="1" applyFill="1"/>
    <xf numFmtId="1" fontId="2" fillId="2" borderId="0" xfId="0" applyNumberFormat="1" applyFont="1" applyFill="1"/>
    <xf numFmtId="0" fontId="5" fillId="2" borderId="0" xfId="0" applyFont="1" applyFill="1"/>
    <xf numFmtId="0" fontId="0" fillId="2" borderId="0" xfId="0" applyFill="1"/>
    <xf numFmtId="164" fontId="0" fillId="2" borderId="0" xfId="0" applyNumberFormat="1" applyFill="1"/>
    <xf numFmtId="1" fontId="0" fillId="2" borderId="0" xfId="0" applyNumberFormat="1" applyFill="1"/>
    <xf numFmtId="2" fontId="0" fillId="2" borderId="0" xfId="0" applyNumberFormat="1" applyFill="1"/>
    <xf numFmtId="0" fontId="0" fillId="2" borderId="0" xfId="0" applyFill="1" applyAlignment="1">
      <alignment horizontal="left"/>
    </xf>
    <xf numFmtId="165" fontId="0" fillId="2" borderId="0" xfId="0" applyNumberFormat="1" applyFill="1"/>
    <xf numFmtId="166" fontId="2" fillId="2" borderId="0" xfId="0" applyNumberFormat="1" applyFont="1" applyFill="1"/>
    <xf numFmtId="0" fontId="0" fillId="2" borderId="0" xfId="0" applyFill="1" applyAlignment="1">
      <alignment horizontal="right"/>
    </xf>
    <xf numFmtId="0" fontId="6" fillId="2" borderId="0" xfId="0" applyFont="1" applyFill="1"/>
    <xf numFmtId="165" fontId="2" fillId="2" borderId="0" xfId="0" applyNumberFormat="1" applyFont="1" applyFill="1"/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right"/>
    </xf>
    <xf numFmtId="0" fontId="0" fillId="2" borderId="0" xfId="0" applyFill="1" applyAlignment="1">
      <alignment horizontal="left"/>
    </xf>
    <xf numFmtId="0" fontId="2" fillId="2" borderId="0" xfId="0" applyFont="1" applyFill="1" applyAlignment="1">
      <alignment horizontal="left"/>
    </xf>
    <xf numFmtId="0" fontId="1" fillId="2" borderId="0" xfId="0" applyFont="1" applyFill="1" applyAlignment="1">
      <alignment horizontal="left"/>
    </xf>
    <xf numFmtId="0" fontId="7" fillId="2" borderId="0" xfId="0" applyFont="1" applyFill="1"/>
    <xf numFmtId="0" fontId="8" fillId="2" borderId="0" xfId="0" applyFont="1" applyFill="1"/>
  </cellXfs>
  <cellStyles count="1"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7" Type="http://schemas.openxmlformats.org/officeDocument/2006/relationships/image" Target="../media/image7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6" Type="http://schemas.openxmlformats.org/officeDocument/2006/relationships/image" Target="../media/image6.png"/><Relationship Id="rId5" Type="http://schemas.openxmlformats.org/officeDocument/2006/relationships/image" Target="../media/image1.png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311150</xdr:colOff>
      <xdr:row>17</xdr:row>
      <xdr:rowOff>173492</xdr:rowOff>
    </xdr:from>
    <xdr:to>
      <xdr:col>7</xdr:col>
      <xdr:colOff>1141941</xdr:colOff>
      <xdr:row>19</xdr:row>
      <xdr:rowOff>43670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17800" y="3380242"/>
          <a:ext cx="2049991" cy="263878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374650</xdr:colOff>
      <xdr:row>39</xdr:row>
      <xdr:rowOff>160792</xdr:rowOff>
    </xdr:from>
    <xdr:to>
      <xdr:col>7</xdr:col>
      <xdr:colOff>1205441</xdr:colOff>
      <xdr:row>41</xdr:row>
      <xdr:rowOff>30970</xdr:rowOff>
    </xdr:to>
    <xdr:pic>
      <xdr:nvPicPr>
        <xdr:cNvPr id="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81300" y="7698242"/>
          <a:ext cx="2049991" cy="263878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203200</xdr:colOff>
      <xdr:row>17</xdr:row>
      <xdr:rowOff>190500</xdr:rowOff>
    </xdr:from>
    <xdr:to>
      <xdr:col>14</xdr:col>
      <xdr:colOff>1643591</xdr:colOff>
      <xdr:row>19</xdr:row>
      <xdr:rowOff>60678</xdr:rowOff>
    </xdr:to>
    <xdr:pic>
      <xdr:nvPicPr>
        <xdr:cNvPr id="1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55000" y="3397250"/>
          <a:ext cx="2049991" cy="263878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127000</xdr:colOff>
      <xdr:row>39</xdr:row>
      <xdr:rowOff>146050</xdr:rowOff>
    </xdr:from>
    <xdr:to>
      <xdr:col>14</xdr:col>
      <xdr:colOff>1567391</xdr:colOff>
      <xdr:row>41</xdr:row>
      <xdr:rowOff>16228</xdr:rowOff>
    </xdr:to>
    <xdr:pic>
      <xdr:nvPicPr>
        <xdr:cNvPr id="1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178800" y="7683500"/>
          <a:ext cx="2049991" cy="263878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368300</xdr:colOff>
      <xdr:row>17</xdr:row>
      <xdr:rowOff>69850</xdr:rowOff>
    </xdr:from>
    <xdr:to>
      <xdr:col>21</xdr:col>
      <xdr:colOff>423855</xdr:colOff>
      <xdr:row>32</xdr:row>
      <xdr:rowOff>98425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103100" y="3517900"/>
          <a:ext cx="3262305" cy="29813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18</xdr:col>
      <xdr:colOff>470579</xdr:colOff>
      <xdr:row>32</xdr:row>
      <xdr:rowOff>0</xdr:rowOff>
    </xdr:from>
    <xdr:to>
      <xdr:col>21</xdr:col>
      <xdr:colOff>373118</xdr:colOff>
      <xdr:row>40</xdr:row>
      <xdr:rowOff>57150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3488079" y="6400800"/>
          <a:ext cx="1826589" cy="16319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16</xdr:col>
      <xdr:colOff>390525</xdr:colOff>
      <xdr:row>1</xdr:row>
      <xdr:rowOff>95250</xdr:rowOff>
    </xdr:from>
    <xdr:to>
      <xdr:col>26</xdr:col>
      <xdr:colOff>227675</xdr:colOff>
      <xdr:row>17</xdr:row>
      <xdr:rowOff>120650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2125325" y="393700"/>
          <a:ext cx="6250650" cy="31750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21</xdr:col>
      <xdr:colOff>349250</xdr:colOff>
      <xdr:row>17</xdr:row>
      <xdr:rowOff>92075</xdr:rowOff>
    </xdr:from>
    <xdr:to>
      <xdr:col>24</xdr:col>
      <xdr:colOff>587375</xdr:colOff>
      <xdr:row>33</xdr:row>
      <xdr:rowOff>101600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5290800" y="3540125"/>
          <a:ext cx="2162175" cy="31591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4</xdr:col>
      <xdr:colOff>95250</xdr:colOff>
      <xdr:row>48</xdr:row>
      <xdr:rowOff>190500</xdr:rowOff>
    </xdr:from>
    <xdr:to>
      <xdr:col>7</xdr:col>
      <xdr:colOff>609600</xdr:colOff>
      <xdr:row>50</xdr:row>
      <xdr:rowOff>110512</xdr:rowOff>
    </xdr:to>
    <xdr:pic>
      <xdr:nvPicPr>
        <xdr:cNvPr id="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3689350" y="9544050"/>
          <a:ext cx="2438400" cy="313712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209551</xdr:colOff>
      <xdr:row>76</xdr:row>
      <xdr:rowOff>38100</xdr:rowOff>
    </xdr:from>
    <xdr:to>
      <xdr:col>6</xdr:col>
      <xdr:colOff>312729</xdr:colOff>
      <xdr:row>81</xdr:row>
      <xdr:rowOff>32117</xdr:rowOff>
    </xdr:to>
    <xdr:pic>
      <xdr:nvPicPr>
        <xdr:cNvPr id="7" name="Immagine 6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3651251" y="14903450"/>
          <a:ext cx="1385878" cy="978267"/>
        </a:xfrm>
        <a:prstGeom prst="rect">
          <a:avLst/>
        </a:prstGeom>
      </xdr:spPr>
    </xdr:pic>
    <xdr:clientData/>
  </xdr:twoCellAnchor>
  <xdr:twoCellAnchor editAs="oneCell">
    <xdr:from>
      <xdr:col>6</xdr:col>
      <xdr:colOff>400050</xdr:colOff>
      <xdr:row>78</xdr:row>
      <xdr:rowOff>46828</xdr:rowOff>
    </xdr:from>
    <xdr:to>
      <xdr:col>8</xdr:col>
      <xdr:colOff>412750</xdr:colOff>
      <xdr:row>84</xdr:row>
      <xdr:rowOff>54405</xdr:rowOff>
    </xdr:to>
    <xdr:pic>
      <xdr:nvPicPr>
        <xdr:cNvPr id="8" name="Immagine 7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5124450" y="15305878"/>
          <a:ext cx="1295400" cy="1188677"/>
        </a:xfrm>
        <a:prstGeom prst="rect">
          <a:avLst/>
        </a:prstGeom>
      </xdr:spPr>
    </xdr:pic>
    <xdr:clientData/>
  </xdr:twoCellAnchor>
  <xdr:twoCellAnchor editAs="oneCell">
    <xdr:from>
      <xdr:col>12</xdr:col>
      <xdr:colOff>95250</xdr:colOff>
      <xdr:row>48</xdr:row>
      <xdr:rowOff>190500</xdr:rowOff>
    </xdr:from>
    <xdr:to>
      <xdr:col>15</xdr:col>
      <xdr:colOff>609600</xdr:colOff>
      <xdr:row>50</xdr:row>
      <xdr:rowOff>110512</xdr:rowOff>
    </xdr:to>
    <xdr:pic>
      <xdr:nvPicPr>
        <xdr:cNvPr id="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3086100" y="9740900"/>
          <a:ext cx="2438400" cy="313712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209551</xdr:colOff>
      <xdr:row>76</xdr:row>
      <xdr:rowOff>38100</xdr:rowOff>
    </xdr:from>
    <xdr:to>
      <xdr:col>14</xdr:col>
      <xdr:colOff>312729</xdr:colOff>
      <xdr:row>81</xdr:row>
      <xdr:rowOff>32117</xdr:rowOff>
    </xdr:to>
    <xdr:pic>
      <xdr:nvPicPr>
        <xdr:cNvPr id="10" name="Immagine 9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3200401" y="15100300"/>
          <a:ext cx="1385878" cy="978267"/>
        </a:xfrm>
        <a:prstGeom prst="rect">
          <a:avLst/>
        </a:prstGeom>
      </xdr:spPr>
    </xdr:pic>
    <xdr:clientData/>
  </xdr:twoCellAnchor>
  <xdr:twoCellAnchor editAs="oneCell">
    <xdr:from>
      <xdr:col>14</xdr:col>
      <xdr:colOff>400050</xdr:colOff>
      <xdr:row>78</xdr:row>
      <xdr:rowOff>46828</xdr:rowOff>
    </xdr:from>
    <xdr:to>
      <xdr:col>16</xdr:col>
      <xdr:colOff>412750</xdr:colOff>
      <xdr:row>84</xdr:row>
      <xdr:rowOff>54405</xdr:rowOff>
    </xdr:to>
    <xdr:pic>
      <xdr:nvPicPr>
        <xdr:cNvPr id="11" name="Immagine 10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673600" y="15502728"/>
          <a:ext cx="1295400" cy="118867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P59"/>
  <sheetViews>
    <sheetView zoomScaleNormal="100" workbookViewId="0">
      <selection activeCell="B3" sqref="B3:J3"/>
    </sheetView>
  </sheetViews>
  <sheetFormatPr defaultRowHeight="14.5"/>
  <cols>
    <col min="1" max="1" width="1.90625" style="8" customWidth="1"/>
    <col min="2" max="2" width="9.90625" style="8" customWidth="1"/>
    <col min="3" max="4" width="7.6328125" style="8" customWidth="1"/>
    <col min="5" max="7" width="8.7265625" style="8"/>
    <col min="8" max="8" width="23.1796875" style="8" customWidth="1"/>
    <col min="9" max="9" width="4.7265625" style="8" customWidth="1"/>
    <col min="10" max="10" width="9.81640625" style="8" customWidth="1"/>
    <col min="11" max="11" width="9.90625" style="8" customWidth="1"/>
    <col min="12" max="12" width="7.6328125" style="8" customWidth="1"/>
    <col min="13" max="14" width="8.7265625" style="8"/>
    <col min="15" max="15" width="26.81640625" style="8" customWidth="1"/>
    <col min="16" max="16384" width="8.7265625" style="8"/>
  </cols>
  <sheetData>
    <row r="1" spans="2:16" ht="21">
      <c r="B1" s="16" t="s">
        <v>158</v>
      </c>
    </row>
    <row r="2" spans="2:16">
      <c r="B2" s="7"/>
    </row>
    <row r="3" spans="2:16" ht="18.5">
      <c r="B3" s="23" t="s">
        <v>161</v>
      </c>
      <c r="C3" s="24"/>
      <c r="D3" s="24"/>
      <c r="E3" s="24"/>
      <c r="F3" s="24"/>
      <c r="G3" s="24"/>
      <c r="H3" s="24"/>
      <c r="I3" s="24"/>
      <c r="J3" s="23" t="s">
        <v>162</v>
      </c>
    </row>
    <row r="4" spans="2:16" ht="15.5">
      <c r="B4" s="2" t="s">
        <v>91</v>
      </c>
      <c r="C4" s="2">
        <v>220</v>
      </c>
      <c r="D4" s="2" t="s">
        <v>3</v>
      </c>
      <c r="E4" s="2"/>
      <c r="F4" s="2"/>
      <c r="G4" s="2"/>
      <c r="H4" s="2"/>
      <c r="I4" s="2"/>
      <c r="J4" s="2" t="s">
        <v>157</v>
      </c>
      <c r="K4" s="2">
        <v>500</v>
      </c>
      <c r="L4" s="2" t="s">
        <v>3</v>
      </c>
      <c r="M4" s="2"/>
      <c r="N4" s="2"/>
      <c r="O4" s="2"/>
      <c r="P4" s="2"/>
    </row>
    <row r="5" spans="2:16" ht="15.5">
      <c r="B5" s="2" t="s">
        <v>11</v>
      </c>
      <c r="C5" s="2">
        <v>4</v>
      </c>
      <c r="D5" s="2" t="s">
        <v>0</v>
      </c>
      <c r="E5" s="2"/>
      <c r="F5" s="2"/>
      <c r="G5" s="2"/>
      <c r="H5" s="2"/>
      <c r="I5" s="2"/>
      <c r="J5" s="2" t="s">
        <v>11</v>
      </c>
      <c r="K5" s="2">
        <v>2</v>
      </c>
      <c r="L5" s="2" t="s">
        <v>0</v>
      </c>
      <c r="M5" s="2"/>
      <c r="N5" s="2"/>
      <c r="O5" s="2"/>
      <c r="P5" s="2"/>
    </row>
    <row r="6" spans="2:16" ht="15.5">
      <c r="B6" s="2" t="s">
        <v>48</v>
      </c>
      <c r="C6" s="2">
        <v>25</v>
      </c>
      <c r="D6" s="2" t="s">
        <v>0</v>
      </c>
      <c r="E6" s="2"/>
      <c r="F6" s="2"/>
      <c r="G6" s="2"/>
      <c r="H6" s="2"/>
      <c r="I6" s="2"/>
      <c r="J6" s="2" t="s">
        <v>48</v>
      </c>
      <c r="K6" s="2">
        <v>25</v>
      </c>
      <c r="L6" s="2" t="s">
        <v>0</v>
      </c>
      <c r="M6" s="2"/>
      <c r="N6" s="2"/>
      <c r="O6" s="2"/>
      <c r="P6" s="2"/>
    </row>
    <row r="7" spans="2:16" ht="15.5">
      <c r="B7" s="2" t="s">
        <v>49</v>
      </c>
      <c r="C7" s="3">
        <f>0.2*C4*C6*C5</f>
        <v>4400</v>
      </c>
      <c r="D7" s="2" t="s">
        <v>18</v>
      </c>
      <c r="E7" s="2"/>
      <c r="F7" s="2"/>
      <c r="G7" s="2"/>
      <c r="H7" s="2"/>
      <c r="I7" s="2"/>
      <c r="J7" s="2" t="s">
        <v>49</v>
      </c>
      <c r="K7" s="3">
        <f>0.2*K4*K6*K5</f>
        <v>5000</v>
      </c>
      <c r="L7" s="2" t="s">
        <v>18</v>
      </c>
      <c r="M7" s="2"/>
      <c r="N7" s="2"/>
      <c r="O7" s="2"/>
      <c r="P7" s="2"/>
    </row>
    <row r="8" spans="2:16" ht="15.5">
      <c r="B8" s="2" t="s">
        <v>123</v>
      </c>
      <c r="C8" s="2">
        <v>1</v>
      </c>
      <c r="D8" s="2"/>
      <c r="E8" s="2"/>
      <c r="F8" s="2"/>
      <c r="G8" s="2"/>
      <c r="H8" s="2"/>
      <c r="I8" s="2"/>
      <c r="J8" s="2" t="s">
        <v>123</v>
      </c>
      <c r="K8" s="2">
        <v>1</v>
      </c>
      <c r="L8" s="2"/>
      <c r="M8" s="2"/>
      <c r="N8" s="2"/>
      <c r="O8" s="2"/>
      <c r="P8" s="2"/>
    </row>
    <row r="9" spans="2:16" ht="15.5">
      <c r="B9" s="2" t="s">
        <v>51</v>
      </c>
      <c r="C9" s="3">
        <f>C7*C8</f>
        <v>4400</v>
      </c>
      <c r="D9" s="2" t="s">
        <v>18</v>
      </c>
      <c r="E9" s="2"/>
      <c r="F9" s="2"/>
      <c r="G9" s="2"/>
      <c r="H9" s="2"/>
      <c r="I9" s="2"/>
      <c r="J9" s="2" t="s">
        <v>51</v>
      </c>
      <c r="K9" s="3">
        <f>K7*K8</f>
        <v>5000</v>
      </c>
      <c r="L9" s="2" t="s">
        <v>18</v>
      </c>
      <c r="M9" s="2"/>
      <c r="N9" s="2"/>
      <c r="O9" s="2"/>
      <c r="P9" s="2"/>
    </row>
    <row r="10" spans="2:16" ht="15.5"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2:16" ht="15.5">
      <c r="B11" s="22" t="s">
        <v>154</v>
      </c>
      <c r="C11" s="22"/>
      <c r="D11" s="22"/>
      <c r="E11" s="22"/>
      <c r="F11" s="22"/>
      <c r="G11" s="22"/>
      <c r="H11" s="22"/>
      <c r="I11" s="2"/>
      <c r="J11" s="22" t="s">
        <v>154</v>
      </c>
      <c r="K11" s="22"/>
      <c r="L11" s="22"/>
      <c r="M11" s="22"/>
      <c r="N11" s="22"/>
      <c r="O11" s="22"/>
      <c r="P11" s="22"/>
    </row>
    <row r="12" spans="2:16" ht="15.5">
      <c r="B12" s="2" t="s">
        <v>53</v>
      </c>
      <c r="C12" s="2">
        <v>6</v>
      </c>
      <c r="D12" s="2" t="s">
        <v>54</v>
      </c>
      <c r="E12" s="2"/>
      <c r="F12" s="2"/>
      <c r="G12" s="2"/>
      <c r="H12" s="2"/>
      <c r="I12" s="2"/>
      <c r="J12" s="2" t="s">
        <v>53</v>
      </c>
      <c r="K12" s="2">
        <v>6</v>
      </c>
      <c r="L12" s="2" t="s">
        <v>54</v>
      </c>
      <c r="M12" s="2"/>
      <c r="N12" s="2"/>
      <c r="O12" s="2"/>
      <c r="P12" s="2"/>
    </row>
    <row r="13" spans="2:16" ht="15.5">
      <c r="B13" s="2" t="s">
        <v>55</v>
      </c>
      <c r="C13" s="17">
        <f>C9/(C12*10^5)</f>
        <v>7.3333333333333332E-3</v>
      </c>
      <c r="D13" s="2" t="s">
        <v>29</v>
      </c>
      <c r="E13" s="2"/>
      <c r="F13" s="2"/>
      <c r="G13" s="2"/>
      <c r="H13" s="2"/>
      <c r="I13" s="2"/>
      <c r="J13" s="2" t="s">
        <v>55</v>
      </c>
      <c r="K13" s="17">
        <f>K9/(K12*10^5)</f>
        <v>8.3333333333333332E-3</v>
      </c>
      <c r="L13" s="2" t="s">
        <v>29</v>
      </c>
      <c r="M13" s="2"/>
      <c r="N13" s="2"/>
      <c r="O13" s="2"/>
      <c r="P13" s="2"/>
    </row>
    <row r="14" spans="2:16" ht="15.5">
      <c r="B14" s="2" t="s">
        <v>56</v>
      </c>
      <c r="C14" s="17">
        <f>(4*C13/PI())^0.5</f>
        <v>9.6628618921748677E-2</v>
      </c>
      <c r="D14" s="2" t="s">
        <v>57</v>
      </c>
      <c r="E14" s="3">
        <f>C14*1000</f>
        <v>96.628618921748682</v>
      </c>
      <c r="F14" s="2" t="s">
        <v>0</v>
      </c>
      <c r="G14" s="2"/>
      <c r="H14" s="2"/>
      <c r="I14" s="2"/>
      <c r="J14" s="2" t="s">
        <v>56</v>
      </c>
      <c r="K14" s="17">
        <f>(4*K13/PI())^0.5</f>
        <v>0.10300645387285055</v>
      </c>
      <c r="L14" s="2" t="s">
        <v>57</v>
      </c>
      <c r="M14" s="3">
        <f>K14*1000</f>
        <v>103.00645387285056</v>
      </c>
      <c r="N14" s="2" t="s">
        <v>0</v>
      </c>
      <c r="O14" s="2"/>
      <c r="P14" s="2"/>
    </row>
    <row r="15" spans="2:16" ht="15.5">
      <c r="B15" s="21" t="s">
        <v>160</v>
      </c>
      <c r="C15" s="21"/>
      <c r="D15" s="21"/>
      <c r="E15" s="21"/>
      <c r="F15" s="21"/>
      <c r="G15" s="21"/>
      <c r="H15" s="21"/>
      <c r="I15" s="2"/>
      <c r="J15" s="21" t="s">
        <v>160</v>
      </c>
      <c r="K15" s="21"/>
      <c r="L15" s="21"/>
      <c r="M15" s="21"/>
      <c r="N15" s="21"/>
      <c r="O15" s="21"/>
      <c r="P15" s="21"/>
    </row>
    <row r="16" spans="2:16" ht="15.5">
      <c r="B16" s="18" t="s">
        <v>58</v>
      </c>
      <c r="C16" s="19">
        <v>100</v>
      </c>
      <c r="D16" s="18" t="s">
        <v>0</v>
      </c>
      <c r="E16" s="18"/>
      <c r="F16" s="18"/>
      <c r="G16" s="18"/>
      <c r="H16" s="18"/>
      <c r="I16" s="2"/>
      <c r="J16" s="18" t="s">
        <v>58</v>
      </c>
      <c r="K16" s="19">
        <v>125</v>
      </c>
      <c r="L16" s="18" t="s">
        <v>0</v>
      </c>
      <c r="M16" s="18"/>
      <c r="N16" s="18"/>
      <c r="O16" s="18"/>
      <c r="P16" s="18"/>
    </row>
    <row r="17" spans="2:16" ht="15.5">
      <c r="B17" s="2" t="s">
        <v>59</v>
      </c>
      <c r="C17" s="2"/>
      <c r="D17" s="2"/>
      <c r="E17" s="2"/>
      <c r="F17" s="2"/>
      <c r="G17" s="2"/>
      <c r="H17" s="2"/>
      <c r="I17" s="2"/>
      <c r="J17" s="2" t="s">
        <v>59</v>
      </c>
      <c r="K17" s="2"/>
      <c r="L17" s="2"/>
      <c r="M17" s="2"/>
      <c r="N17" s="2"/>
      <c r="O17" s="2"/>
      <c r="P17" s="2"/>
    </row>
    <row r="18" spans="2:16" ht="15.5">
      <c r="B18" s="2" t="s">
        <v>60</v>
      </c>
      <c r="C18" s="3">
        <f>(PI() * (C16/1000)^2/4* C12*10^5)</f>
        <v>4712.3889803846905</v>
      </c>
      <c r="D18" s="2" t="s">
        <v>61</v>
      </c>
      <c r="E18" s="2"/>
      <c r="F18" s="2"/>
      <c r="G18" s="2"/>
      <c r="H18" s="2"/>
      <c r="I18" s="2"/>
      <c r="J18" s="2" t="s">
        <v>60</v>
      </c>
      <c r="K18" s="3">
        <f>(PI() * (K16/1000)^2/4* K12*10^5)</f>
        <v>7363.1077818510776</v>
      </c>
      <c r="L18" s="2" t="s">
        <v>61</v>
      </c>
      <c r="M18" s="2"/>
      <c r="N18" s="2"/>
      <c r="O18" s="2"/>
      <c r="P18" s="2"/>
    </row>
    <row r="19" spans="2:16" ht="15.5">
      <c r="B19" s="21" t="s">
        <v>62</v>
      </c>
      <c r="C19" s="21"/>
      <c r="D19" s="21"/>
      <c r="E19" s="21"/>
      <c r="F19" s="21"/>
      <c r="G19" s="21"/>
      <c r="H19" s="21"/>
      <c r="I19" s="2"/>
      <c r="J19" s="21" t="s">
        <v>62</v>
      </c>
      <c r="K19" s="21"/>
      <c r="L19" s="21"/>
      <c r="M19" s="21"/>
      <c r="N19" s="21"/>
      <c r="O19" s="21"/>
      <c r="P19" s="21"/>
    </row>
    <row r="20" spans="2:16" ht="15.5">
      <c r="B20" s="2" t="s">
        <v>63</v>
      </c>
      <c r="C20" s="2">
        <v>1</v>
      </c>
      <c r="D20" s="2" t="s">
        <v>64</v>
      </c>
      <c r="E20" s="2" t="s">
        <v>144</v>
      </c>
      <c r="F20" s="2"/>
      <c r="G20" s="2"/>
      <c r="H20" s="2"/>
      <c r="I20" s="2"/>
      <c r="J20" s="2" t="s">
        <v>63</v>
      </c>
      <c r="K20" s="2">
        <v>1</v>
      </c>
      <c r="L20" s="2" t="s">
        <v>64</v>
      </c>
      <c r="M20" s="2" t="s">
        <v>144</v>
      </c>
      <c r="N20" s="2"/>
      <c r="O20" s="2"/>
      <c r="P20" s="2"/>
    </row>
    <row r="21" spans="2:16" ht="15.5">
      <c r="B21" s="2" t="s">
        <v>66</v>
      </c>
      <c r="C21" s="2">
        <v>100</v>
      </c>
      <c r="D21" s="2" t="s">
        <v>0</v>
      </c>
      <c r="E21" s="2" t="s">
        <v>67</v>
      </c>
      <c r="F21" s="2"/>
      <c r="G21" s="2"/>
      <c r="H21" s="2"/>
      <c r="I21" s="2"/>
      <c r="J21" s="2" t="s">
        <v>66</v>
      </c>
      <c r="K21" s="2">
        <v>100</v>
      </c>
      <c r="L21" s="2" t="s">
        <v>0</v>
      </c>
      <c r="M21" s="2" t="s">
        <v>67</v>
      </c>
      <c r="N21" s="2"/>
      <c r="O21" s="2"/>
      <c r="P21" s="2"/>
    </row>
    <row r="22" spans="2:16" ht="15.5">
      <c r="B22" s="2" t="s">
        <v>68</v>
      </c>
      <c r="C22" s="2">
        <v>1.5</v>
      </c>
      <c r="D22" s="2" t="s">
        <v>69</v>
      </c>
      <c r="E22" s="2" t="s">
        <v>70</v>
      </c>
      <c r="F22" s="2"/>
      <c r="G22" s="2"/>
      <c r="H22" s="2"/>
      <c r="I22" s="2"/>
      <c r="J22" s="2" t="s">
        <v>68</v>
      </c>
      <c r="K22" s="2">
        <v>1.5</v>
      </c>
      <c r="L22" s="2" t="s">
        <v>69</v>
      </c>
      <c r="M22" s="2" t="s">
        <v>70</v>
      </c>
      <c r="N22" s="2"/>
      <c r="O22" s="2"/>
      <c r="P22" s="2"/>
    </row>
    <row r="23" spans="2:16" ht="15.5">
      <c r="B23" s="2" t="s">
        <v>71</v>
      </c>
      <c r="C23" s="14">
        <f>2*(C21/1000)/C22</f>
        <v>0.13333333333333333</v>
      </c>
      <c r="D23" s="2" t="s">
        <v>69</v>
      </c>
      <c r="E23" s="2" t="s">
        <v>143</v>
      </c>
      <c r="F23" s="2"/>
      <c r="G23" s="2"/>
      <c r="H23" s="2"/>
      <c r="I23" s="2"/>
      <c r="J23" s="2" t="s">
        <v>71</v>
      </c>
      <c r="K23" s="14">
        <f>2*(K21/1000)/K22</f>
        <v>0.13333333333333333</v>
      </c>
      <c r="L23" s="2" t="s">
        <v>69</v>
      </c>
      <c r="M23" s="2" t="s">
        <v>143</v>
      </c>
      <c r="N23" s="2"/>
      <c r="O23" s="2"/>
      <c r="P23" s="2"/>
    </row>
    <row r="24" spans="2:16" ht="15.5">
      <c r="B24" s="2" t="s">
        <v>72</v>
      </c>
      <c r="C24" s="2">
        <f>C22/C23</f>
        <v>11.25</v>
      </c>
      <c r="D24" s="2" t="s">
        <v>73</v>
      </c>
      <c r="E24" s="2" t="s">
        <v>74</v>
      </c>
      <c r="F24" s="2"/>
      <c r="G24" s="2"/>
      <c r="H24" s="2"/>
      <c r="I24" s="2"/>
      <c r="J24" s="2" t="s">
        <v>72</v>
      </c>
      <c r="K24" s="2">
        <f>K22/K23</f>
        <v>11.25</v>
      </c>
      <c r="L24" s="2" t="s">
        <v>73</v>
      </c>
      <c r="M24" s="2" t="s">
        <v>74</v>
      </c>
      <c r="N24" s="2"/>
      <c r="O24" s="2"/>
      <c r="P24" s="2"/>
    </row>
    <row r="25" spans="2:16" ht="15.5">
      <c r="B25" s="2" t="s">
        <v>96</v>
      </c>
      <c r="C25" s="6">
        <f>C20*C24</f>
        <v>11.25</v>
      </c>
      <c r="D25" s="2" t="s">
        <v>18</v>
      </c>
      <c r="E25" s="2" t="s">
        <v>76</v>
      </c>
      <c r="F25" s="2"/>
      <c r="G25" s="2"/>
      <c r="H25" s="2"/>
      <c r="I25" s="2"/>
      <c r="J25" s="2" t="s">
        <v>96</v>
      </c>
      <c r="K25" s="6">
        <f>K20*K24</f>
        <v>11.25</v>
      </c>
      <c r="L25" s="2" t="s">
        <v>18</v>
      </c>
      <c r="M25" s="2" t="s">
        <v>76</v>
      </c>
      <c r="N25" s="2"/>
      <c r="O25" s="2"/>
      <c r="P25" s="2"/>
    </row>
    <row r="26" spans="2:16" ht="15.5"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</row>
    <row r="27" spans="2:16" ht="15.5">
      <c r="B27" s="21" t="s">
        <v>77</v>
      </c>
      <c r="C27" s="21"/>
      <c r="D27" s="21"/>
      <c r="E27" s="21"/>
      <c r="F27" s="21"/>
      <c r="G27" s="21"/>
      <c r="H27" s="21"/>
      <c r="I27" s="2"/>
      <c r="J27" s="21" t="s">
        <v>77</v>
      </c>
      <c r="K27" s="21"/>
      <c r="L27" s="21"/>
      <c r="M27" s="21"/>
      <c r="N27" s="21"/>
      <c r="O27" s="21"/>
      <c r="P27" s="21"/>
    </row>
    <row r="28" spans="2:16" ht="15.5">
      <c r="B28" s="2" t="s">
        <v>124</v>
      </c>
      <c r="C28" s="3">
        <f>C9+C25</f>
        <v>4411.25</v>
      </c>
      <c r="D28" s="2" t="s">
        <v>18</v>
      </c>
      <c r="E28" s="2"/>
      <c r="F28" s="2"/>
      <c r="G28" s="2"/>
      <c r="H28" s="2"/>
      <c r="I28" s="2"/>
      <c r="J28" s="2" t="s">
        <v>124</v>
      </c>
      <c r="K28" s="3">
        <f>K9+K25</f>
        <v>5011.25</v>
      </c>
      <c r="L28" s="2" t="s">
        <v>18</v>
      </c>
      <c r="M28" s="2"/>
      <c r="N28" s="2"/>
      <c r="O28" s="2"/>
      <c r="P28" s="2"/>
    </row>
    <row r="29" spans="2:16" ht="15.5">
      <c r="B29" s="21" t="s">
        <v>78</v>
      </c>
      <c r="C29" s="21"/>
      <c r="D29" s="21"/>
      <c r="E29" s="21"/>
      <c r="F29" s="21"/>
      <c r="G29" s="21"/>
      <c r="H29" s="21"/>
      <c r="I29" s="2"/>
      <c r="J29" s="21" t="s">
        <v>78</v>
      </c>
      <c r="K29" s="21"/>
      <c r="L29" s="21"/>
      <c r="M29" s="21"/>
      <c r="N29" s="21"/>
      <c r="O29" s="21"/>
      <c r="P29" s="21"/>
    </row>
    <row r="30" spans="2:16" ht="15.5"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</row>
    <row r="31" spans="2:16" ht="15.5">
      <c r="B31" s="22" t="s">
        <v>153</v>
      </c>
      <c r="C31" s="22"/>
      <c r="D31" s="22"/>
      <c r="E31" s="22"/>
      <c r="F31" s="22"/>
      <c r="G31" s="22"/>
      <c r="H31" s="22"/>
      <c r="I31" s="2"/>
      <c r="J31" s="22" t="s">
        <v>153</v>
      </c>
      <c r="K31" s="22"/>
      <c r="L31" s="22"/>
      <c r="M31" s="22"/>
      <c r="N31" s="22"/>
      <c r="O31" s="22"/>
      <c r="P31" s="22"/>
    </row>
    <row r="32" spans="2:16" ht="15.5">
      <c r="B32" s="2" t="s">
        <v>125</v>
      </c>
      <c r="C32" s="2">
        <v>0.2</v>
      </c>
      <c r="D32" s="2"/>
      <c r="E32" s="2"/>
      <c r="F32" s="2"/>
      <c r="G32" s="2"/>
      <c r="H32" s="2"/>
      <c r="I32" s="2"/>
      <c r="J32" s="2" t="s">
        <v>125</v>
      </c>
      <c r="K32" s="2">
        <v>0.2</v>
      </c>
      <c r="L32" s="2"/>
      <c r="M32" s="2"/>
      <c r="N32" s="2"/>
      <c r="O32" s="2"/>
      <c r="P32" s="2"/>
    </row>
    <row r="33" spans="2:16" ht="15.5">
      <c r="B33" s="2" t="s">
        <v>126</v>
      </c>
      <c r="C33" s="2">
        <f>C9*C32</f>
        <v>880</v>
      </c>
      <c r="D33" s="2" t="s">
        <v>18</v>
      </c>
      <c r="E33" s="2"/>
      <c r="F33" s="2"/>
      <c r="G33" s="2"/>
      <c r="H33" s="2"/>
      <c r="I33" s="2"/>
      <c r="J33" s="2" t="s">
        <v>126</v>
      </c>
      <c r="K33" s="2">
        <f>K9*K32</f>
        <v>1000</v>
      </c>
      <c r="L33" s="2" t="s">
        <v>18</v>
      </c>
      <c r="M33" s="2"/>
      <c r="N33" s="2"/>
      <c r="O33" s="2"/>
      <c r="P33" s="2"/>
    </row>
    <row r="34" spans="2:16" ht="15.5">
      <c r="B34" s="2" t="s">
        <v>53</v>
      </c>
      <c r="C34" s="2">
        <v>6</v>
      </c>
      <c r="D34" s="2" t="s">
        <v>54</v>
      </c>
      <c r="E34" s="2"/>
      <c r="F34" s="2"/>
      <c r="G34" s="2"/>
      <c r="H34" s="2"/>
      <c r="I34" s="2"/>
      <c r="J34" s="2" t="s">
        <v>53</v>
      </c>
      <c r="K34" s="2">
        <v>6</v>
      </c>
      <c r="L34" s="2" t="s">
        <v>54</v>
      </c>
      <c r="M34" s="2"/>
      <c r="N34" s="2"/>
      <c r="O34" s="2"/>
      <c r="P34" s="2"/>
    </row>
    <row r="35" spans="2:16" ht="15.5">
      <c r="B35" s="2" t="s">
        <v>55</v>
      </c>
      <c r="C35" s="17">
        <f>C33/(C34*10^5)</f>
        <v>1.4666666666666667E-3</v>
      </c>
      <c r="D35" s="2" t="s">
        <v>29</v>
      </c>
      <c r="E35" s="2"/>
      <c r="F35" s="2"/>
      <c r="G35" s="2"/>
      <c r="H35" s="2"/>
      <c r="I35" s="2"/>
      <c r="J35" s="2" t="s">
        <v>55</v>
      </c>
      <c r="K35" s="17">
        <f>K33/(K34*10^5)</f>
        <v>1.6666666666666668E-3</v>
      </c>
      <c r="L35" s="2" t="s">
        <v>29</v>
      </c>
      <c r="M35" s="2"/>
      <c r="N35" s="2"/>
      <c r="O35" s="2"/>
      <c r="P35" s="2"/>
    </row>
    <row r="36" spans="2:16" ht="15.5">
      <c r="B36" s="2" t="s">
        <v>56</v>
      </c>
      <c r="C36" s="17">
        <f>(4*C35/PI())^0.5</f>
        <v>4.3213632096190495E-2</v>
      </c>
      <c r="D36" s="2" t="s">
        <v>57</v>
      </c>
      <c r="E36" s="3">
        <f>C36*1000</f>
        <v>43.213632096190494</v>
      </c>
      <c r="F36" s="2" t="s">
        <v>0</v>
      </c>
      <c r="G36" s="2"/>
      <c r="H36" s="2"/>
      <c r="I36" s="2"/>
      <c r="J36" s="2" t="s">
        <v>56</v>
      </c>
      <c r="K36" s="17">
        <f>(4*K35/PI())^0.5</f>
        <v>4.6065886596178066E-2</v>
      </c>
      <c r="L36" s="2" t="s">
        <v>57</v>
      </c>
      <c r="M36" s="3">
        <f>K36*1000</f>
        <v>46.065886596178068</v>
      </c>
      <c r="N36" s="2" t="s">
        <v>0</v>
      </c>
      <c r="O36" s="2"/>
      <c r="P36" s="2"/>
    </row>
    <row r="37" spans="2:16" ht="15.5">
      <c r="B37" s="21" t="s">
        <v>97</v>
      </c>
      <c r="C37" s="21"/>
      <c r="D37" s="21"/>
      <c r="E37" s="21"/>
      <c r="F37" s="21"/>
      <c r="G37" s="21"/>
      <c r="H37" s="21"/>
      <c r="I37" s="2"/>
      <c r="J37" s="21" t="s">
        <v>97</v>
      </c>
      <c r="K37" s="21"/>
      <c r="L37" s="21"/>
      <c r="M37" s="21"/>
      <c r="N37" s="21"/>
      <c r="O37" s="21"/>
      <c r="P37" s="21"/>
    </row>
    <row r="38" spans="2:16" ht="15.5">
      <c r="B38" s="18" t="s">
        <v>58</v>
      </c>
      <c r="C38" s="19">
        <v>50</v>
      </c>
      <c r="D38" s="18" t="s">
        <v>0</v>
      </c>
      <c r="E38" s="18"/>
      <c r="F38" s="18"/>
      <c r="G38" s="18"/>
      <c r="H38" s="18"/>
      <c r="I38" s="2"/>
      <c r="J38" s="18" t="s">
        <v>58</v>
      </c>
      <c r="K38" s="19">
        <v>50</v>
      </c>
      <c r="L38" s="18" t="s">
        <v>0</v>
      </c>
      <c r="M38" s="18"/>
      <c r="N38" s="18"/>
      <c r="O38" s="18"/>
      <c r="P38" s="18"/>
    </row>
    <row r="39" spans="2:16" ht="15.5">
      <c r="B39" s="2" t="s">
        <v>59</v>
      </c>
      <c r="C39" s="2"/>
      <c r="D39" s="2"/>
      <c r="E39" s="2"/>
      <c r="F39" s="2"/>
      <c r="G39" s="2"/>
      <c r="H39" s="2"/>
      <c r="I39" s="2"/>
      <c r="J39" s="2" t="s">
        <v>59</v>
      </c>
      <c r="K39" s="2"/>
      <c r="L39" s="2"/>
      <c r="M39" s="2"/>
      <c r="N39" s="2"/>
      <c r="O39" s="2"/>
      <c r="P39" s="2"/>
    </row>
    <row r="40" spans="2:16" ht="15.5">
      <c r="B40" s="2" t="s">
        <v>60</v>
      </c>
      <c r="C40" s="3">
        <f>(PI() * (C38/1000)^2/4* C12*10^5)</f>
        <v>1178.0972450961726</v>
      </c>
      <c r="D40" s="2" t="s">
        <v>61</v>
      </c>
      <c r="E40" s="2"/>
      <c r="F40" s="2"/>
      <c r="G40" s="2"/>
      <c r="H40" s="2"/>
      <c r="I40" s="2"/>
      <c r="J40" s="2" t="s">
        <v>60</v>
      </c>
      <c r="K40" s="3">
        <f>(PI() * (K38/1000)^2/4* K12*10^5)</f>
        <v>1178.0972450961726</v>
      </c>
      <c r="L40" s="2" t="s">
        <v>61</v>
      </c>
      <c r="M40" s="2"/>
      <c r="N40" s="2"/>
      <c r="O40" s="2"/>
      <c r="P40" s="2"/>
    </row>
    <row r="41" spans="2:16" ht="15.5">
      <c r="B41" s="21" t="s">
        <v>62</v>
      </c>
      <c r="C41" s="21"/>
      <c r="D41" s="21"/>
      <c r="E41" s="21"/>
      <c r="F41" s="21"/>
      <c r="G41" s="21"/>
      <c r="H41" s="21"/>
      <c r="I41" s="2"/>
      <c r="J41" s="21" t="s">
        <v>62</v>
      </c>
      <c r="K41" s="21"/>
      <c r="L41" s="21"/>
      <c r="M41" s="21"/>
      <c r="N41" s="21"/>
      <c r="O41" s="21"/>
      <c r="P41" s="21"/>
    </row>
    <row r="42" spans="2:16" ht="15.5">
      <c r="B42" s="2" t="s">
        <v>63</v>
      </c>
      <c r="C42" s="2">
        <v>1</v>
      </c>
      <c r="D42" s="2" t="s">
        <v>64</v>
      </c>
      <c r="E42" s="2" t="s">
        <v>65</v>
      </c>
      <c r="F42" s="2"/>
      <c r="G42" s="2"/>
      <c r="H42" s="2"/>
      <c r="I42" s="2"/>
      <c r="J42" s="2" t="s">
        <v>63</v>
      </c>
      <c r="K42" s="2">
        <v>1</v>
      </c>
      <c r="L42" s="2" t="s">
        <v>64</v>
      </c>
      <c r="M42" s="2" t="s">
        <v>65</v>
      </c>
      <c r="N42" s="2"/>
      <c r="O42" s="2"/>
      <c r="P42" s="2"/>
    </row>
    <row r="43" spans="2:16" ht="15.5">
      <c r="B43" s="2" t="s">
        <v>66</v>
      </c>
      <c r="C43" s="2">
        <v>170</v>
      </c>
      <c r="D43" s="2" t="s">
        <v>0</v>
      </c>
      <c r="E43" s="2" t="s">
        <v>67</v>
      </c>
      <c r="F43" s="2"/>
      <c r="G43" s="2"/>
      <c r="H43" s="2"/>
      <c r="I43" s="2"/>
      <c r="J43" s="2" t="s">
        <v>66</v>
      </c>
      <c r="K43" s="2">
        <v>170</v>
      </c>
      <c r="L43" s="2" t="s">
        <v>0</v>
      </c>
      <c r="M43" s="2" t="s">
        <v>67</v>
      </c>
      <c r="N43" s="2"/>
      <c r="O43" s="2"/>
      <c r="P43" s="2"/>
    </row>
    <row r="44" spans="2:16" ht="15.5">
      <c r="B44" s="2" t="s">
        <v>68</v>
      </c>
      <c r="C44" s="2">
        <v>1</v>
      </c>
      <c r="D44" s="2" t="s">
        <v>69</v>
      </c>
      <c r="E44" s="2" t="s">
        <v>70</v>
      </c>
      <c r="F44" s="2"/>
      <c r="G44" s="2"/>
      <c r="H44" s="2"/>
      <c r="I44" s="2"/>
      <c r="J44" s="2" t="s">
        <v>68</v>
      </c>
      <c r="K44" s="2">
        <v>1</v>
      </c>
      <c r="L44" s="2" t="s">
        <v>69</v>
      </c>
      <c r="M44" s="2" t="s">
        <v>70</v>
      </c>
      <c r="N44" s="2"/>
      <c r="O44" s="2"/>
      <c r="P44" s="2"/>
    </row>
    <row r="45" spans="2:16" ht="15.5">
      <c r="B45" s="2" t="s">
        <v>71</v>
      </c>
      <c r="C45" s="2">
        <f>2*(C43/1000)/C44</f>
        <v>0.34</v>
      </c>
      <c r="D45" s="2" t="s">
        <v>69</v>
      </c>
      <c r="E45" s="2" t="s">
        <v>143</v>
      </c>
      <c r="F45" s="2"/>
      <c r="G45" s="2"/>
      <c r="H45" s="2"/>
      <c r="I45" s="2"/>
      <c r="J45" s="2" t="s">
        <v>71</v>
      </c>
      <c r="K45" s="2">
        <f>2*(K43/1000)/K44</f>
        <v>0.34</v>
      </c>
      <c r="L45" s="2" t="s">
        <v>69</v>
      </c>
      <c r="M45" s="2" t="s">
        <v>143</v>
      </c>
      <c r="N45" s="2"/>
      <c r="O45" s="2"/>
      <c r="P45" s="2"/>
    </row>
    <row r="46" spans="2:16" ht="15.5">
      <c r="B46" s="2" t="s">
        <v>72</v>
      </c>
      <c r="C46" s="4">
        <f>C44/C45</f>
        <v>2.9411764705882351</v>
      </c>
      <c r="D46" s="2" t="s">
        <v>73</v>
      </c>
      <c r="E46" s="2" t="s">
        <v>74</v>
      </c>
      <c r="F46" s="2"/>
      <c r="G46" s="2"/>
      <c r="H46" s="2"/>
      <c r="I46" s="2"/>
      <c r="J46" s="2" t="s">
        <v>72</v>
      </c>
      <c r="K46" s="4">
        <f>K44/K45</f>
        <v>2.9411764705882351</v>
      </c>
      <c r="L46" s="2" t="s">
        <v>73</v>
      </c>
      <c r="M46" s="2" t="s">
        <v>74</v>
      </c>
      <c r="N46" s="2"/>
      <c r="O46" s="2"/>
      <c r="P46" s="2"/>
    </row>
    <row r="47" spans="2:16" ht="15.5">
      <c r="B47" s="2" t="s">
        <v>96</v>
      </c>
      <c r="C47" s="6">
        <f>C42*C46</f>
        <v>2.9411764705882351</v>
      </c>
      <c r="D47" s="2" t="s">
        <v>18</v>
      </c>
      <c r="E47" s="2" t="s">
        <v>76</v>
      </c>
      <c r="F47" s="2"/>
      <c r="G47" s="2"/>
      <c r="H47" s="2"/>
      <c r="I47" s="2"/>
      <c r="J47" s="2" t="s">
        <v>96</v>
      </c>
      <c r="K47" s="6">
        <f>K42*K46</f>
        <v>2.9411764705882351</v>
      </c>
      <c r="L47" s="2" t="s">
        <v>18</v>
      </c>
      <c r="M47" s="2" t="s">
        <v>76</v>
      </c>
      <c r="N47" s="2"/>
      <c r="O47" s="2"/>
      <c r="P47" s="2"/>
    </row>
    <row r="48" spans="2:16" ht="15.5">
      <c r="B48" s="21" t="s">
        <v>77</v>
      </c>
      <c r="C48" s="21"/>
      <c r="D48" s="21"/>
      <c r="E48" s="21"/>
      <c r="F48" s="21"/>
      <c r="G48" s="21"/>
      <c r="H48" s="21"/>
      <c r="I48" s="2"/>
      <c r="J48" s="21" t="s">
        <v>77</v>
      </c>
      <c r="K48" s="21"/>
      <c r="L48" s="21"/>
      <c r="M48" s="21"/>
      <c r="N48" s="21"/>
      <c r="O48" s="21"/>
      <c r="P48" s="21"/>
    </row>
    <row r="49" spans="2:16" ht="15.5">
      <c r="B49" s="2" t="s">
        <v>124</v>
      </c>
      <c r="C49" s="3">
        <f>C33+C47</f>
        <v>882.94117647058829</v>
      </c>
      <c r="D49" s="2" t="s">
        <v>18</v>
      </c>
      <c r="E49" s="2"/>
      <c r="F49" s="2"/>
      <c r="G49" s="2"/>
      <c r="H49" s="2"/>
      <c r="I49" s="2"/>
      <c r="J49" s="2" t="s">
        <v>124</v>
      </c>
      <c r="K49" s="3">
        <f>K33+K47</f>
        <v>1002.9411764705883</v>
      </c>
      <c r="L49" s="2" t="s">
        <v>18</v>
      </c>
      <c r="M49" s="2"/>
      <c r="N49" s="2"/>
      <c r="O49" s="2"/>
      <c r="P49" s="2"/>
    </row>
    <row r="50" spans="2:16" ht="15.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2:16" ht="15.5">
      <c r="B51" s="1" t="s">
        <v>156</v>
      </c>
      <c r="C51" s="2"/>
      <c r="D51" s="2"/>
      <c r="E51" s="2"/>
      <c r="F51" s="2"/>
      <c r="G51" s="2"/>
      <c r="H51" s="2"/>
      <c r="I51" s="2"/>
      <c r="J51" s="1" t="s">
        <v>156</v>
      </c>
      <c r="K51" s="2"/>
      <c r="L51" s="2"/>
      <c r="M51" s="2"/>
      <c r="N51" s="2"/>
      <c r="O51" s="2"/>
      <c r="P51" s="2"/>
    </row>
    <row r="52" spans="2:16" ht="15.5">
      <c r="B52" s="2" t="s">
        <v>127</v>
      </c>
      <c r="C52" s="2">
        <v>10</v>
      </c>
      <c r="D52" s="2" t="s">
        <v>11</v>
      </c>
      <c r="E52" s="2"/>
      <c r="F52" s="2"/>
      <c r="G52" s="2"/>
      <c r="H52" s="2"/>
      <c r="I52" s="2"/>
      <c r="J52" s="2" t="s">
        <v>127</v>
      </c>
      <c r="K52" s="2">
        <v>10</v>
      </c>
      <c r="L52" s="2" t="s">
        <v>11</v>
      </c>
      <c r="M52" s="2"/>
      <c r="N52" s="2"/>
      <c r="O52" s="2"/>
      <c r="P52" s="2"/>
    </row>
    <row r="53" spans="2:16" ht="15.5">
      <c r="B53" s="2" t="s">
        <v>128</v>
      </c>
      <c r="C53" s="2">
        <v>5</v>
      </c>
      <c r="D53" s="2" t="s">
        <v>11</v>
      </c>
      <c r="E53" s="2"/>
      <c r="F53" s="2"/>
      <c r="G53" s="2"/>
      <c r="H53" s="2"/>
      <c r="I53" s="2"/>
      <c r="J53" s="2" t="s">
        <v>128</v>
      </c>
      <c r="K53" s="2">
        <v>5</v>
      </c>
      <c r="L53" s="2" t="s">
        <v>11</v>
      </c>
      <c r="M53" s="2"/>
      <c r="N53" s="2"/>
      <c r="O53" s="2"/>
      <c r="P53" s="2"/>
    </row>
    <row r="54" spans="2:16" ht="15.5">
      <c r="B54" s="2" t="s">
        <v>130</v>
      </c>
      <c r="C54" s="4">
        <f>C52+C53+2*C45+2*C23</f>
        <v>15.946666666666667</v>
      </c>
      <c r="D54" s="2" t="s">
        <v>11</v>
      </c>
      <c r="E54" s="2"/>
      <c r="F54" s="2"/>
      <c r="G54" s="2"/>
      <c r="H54" s="2"/>
      <c r="I54" s="2"/>
      <c r="J54" s="2" t="s">
        <v>130</v>
      </c>
      <c r="K54" s="4">
        <f>K52+K53+2*K45+2*K23</f>
        <v>15.946666666666667</v>
      </c>
      <c r="L54" s="2" t="s">
        <v>11</v>
      </c>
      <c r="M54" s="2"/>
      <c r="N54" s="2"/>
      <c r="O54" s="2"/>
      <c r="P54" s="2"/>
    </row>
    <row r="55" spans="2:16" ht="15.5">
      <c r="B55" s="2" t="s">
        <v>131</v>
      </c>
      <c r="C55" s="2">
        <v>5000</v>
      </c>
      <c r="D55" s="2"/>
      <c r="E55" s="2"/>
      <c r="F55" s="2"/>
      <c r="G55" s="2"/>
      <c r="H55" s="2"/>
      <c r="I55" s="2"/>
      <c r="J55" s="2" t="s">
        <v>131</v>
      </c>
      <c r="K55" s="2">
        <v>5000</v>
      </c>
      <c r="L55" s="2"/>
      <c r="M55" s="2"/>
      <c r="N55" s="2"/>
      <c r="O55" s="2"/>
      <c r="P55" s="2"/>
    </row>
    <row r="56" spans="2:16" ht="15.5">
      <c r="B56" s="2" t="s">
        <v>129</v>
      </c>
      <c r="C56" s="2">
        <f>C55*C54</f>
        <v>79733.333333333343</v>
      </c>
      <c r="D56" s="2" t="s">
        <v>11</v>
      </c>
      <c r="E56" s="4">
        <f>C56/3600</f>
        <v>22.148148148148152</v>
      </c>
      <c r="F56" s="2" t="s">
        <v>132</v>
      </c>
      <c r="G56" s="2"/>
      <c r="H56" s="2"/>
      <c r="I56" s="2"/>
      <c r="J56" s="2" t="s">
        <v>129</v>
      </c>
      <c r="K56" s="2">
        <f>K55*K54</f>
        <v>79733.333333333343</v>
      </c>
      <c r="L56" s="2" t="s">
        <v>11</v>
      </c>
      <c r="M56" s="4">
        <f>K56/3600</f>
        <v>22.148148148148152</v>
      </c>
      <c r="N56" s="2" t="s">
        <v>132</v>
      </c>
      <c r="O56" s="2"/>
      <c r="P56" s="2"/>
    </row>
    <row r="57" spans="2:16" ht="15.5">
      <c r="B57" s="8" t="s">
        <v>151</v>
      </c>
      <c r="C57" s="2">
        <v>50</v>
      </c>
      <c r="D57" s="2" t="s">
        <v>133</v>
      </c>
      <c r="E57" s="2"/>
      <c r="F57" s="2"/>
      <c r="G57" s="2"/>
      <c r="H57" s="2"/>
      <c r="I57" s="2"/>
      <c r="J57" s="8" t="s">
        <v>151</v>
      </c>
      <c r="K57" s="2">
        <v>50</v>
      </c>
      <c r="L57" s="2" t="s">
        <v>133</v>
      </c>
      <c r="M57" s="2"/>
      <c r="N57" s="2"/>
      <c r="O57" s="2"/>
      <c r="P57" s="2"/>
    </row>
    <row r="58" spans="2:16" ht="15.5">
      <c r="B58" s="2" t="s">
        <v>134</v>
      </c>
      <c r="C58" s="2">
        <v>500</v>
      </c>
      <c r="D58" s="2" t="s">
        <v>135</v>
      </c>
      <c r="E58" s="2"/>
      <c r="F58" s="2"/>
      <c r="G58" s="2"/>
      <c r="H58" s="2"/>
      <c r="I58" s="2"/>
      <c r="J58" s="2" t="s">
        <v>134</v>
      </c>
      <c r="K58" s="2">
        <v>500</v>
      </c>
      <c r="L58" s="2" t="s">
        <v>135</v>
      </c>
      <c r="M58" s="2"/>
      <c r="N58" s="2"/>
      <c r="O58" s="2"/>
      <c r="P58" s="2"/>
    </row>
    <row r="59" spans="2:16" ht="15.5">
      <c r="B59" s="2" t="s">
        <v>136</v>
      </c>
      <c r="C59" s="2">
        <f>C58+C57*E56</f>
        <v>1607.4074074074076</v>
      </c>
      <c r="D59" s="2" t="s">
        <v>135</v>
      </c>
      <c r="E59" s="2"/>
      <c r="F59" s="2"/>
      <c r="G59" s="2"/>
      <c r="H59" s="2"/>
      <c r="I59" s="2"/>
      <c r="J59" s="2" t="s">
        <v>136</v>
      </c>
      <c r="K59" s="4">
        <f>K58+K57*M56</f>
        <v>1607.4074074074076</v>
      </c>
      <c r="L59" s="2" t="s">
        <v>135</v>
      </c>
      <c r="M59" s="2"/>
      <c r="N59" s="2"/>
      <c r="O59" s="2"/>
      <c r="P59" s="2"/>
    </row>
  </sheetData>
  <mergeCells count="18">
    <mergeCell ref="B27:H27"/>
    <mergeCell ref="B29:H29"/>
    <mergeCell ref="B41:H41"/>
    <mergeCell ref="B48:H48"/>
    <mergeCell ref="J11:P11"/>
    <mergeCell ref="J15:P15"/>
    <mergeCell ref="J19:P19"/>
    <mergeCell ref="J27:P27"/>
    <mergeCell ref="J29:P29"/>
    <mergeCell ref="J31:P31"/>
    <mergeCell ref="J37:P37"/>
    <mergeCell ref="J41:P41"/>
    <mergeCell ref="J48:P48"/>
    <mergeCell ref="B31:H31"/>
    <mergeCell ref="B37:H37"/>
    <mergeCell ref="B11:H11"/>
    <mergeCell ref="B15:H15"/>
    <mergeCell ref="B19:H19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1:P104"/>
  <sheetViews>
    <sheetView tabSelected="1" workbookViewId="0">
      <selection activeCell="B101" sqref="B101"/>
    </sheetView>
  </sheetViews>
  <sheetFormatPr defaultColWidth="9.1796875" defaultRowHeight="15.5"/>
  <cols>
    <col min="1" max="1" width="1.81640625" style="2" customWidth="1"/>
    <col min="2" max="2" width="24.81640625" style="2" customWidth="1"/>
    <col min="3" max="3" width="10.54296875" style="2" customWidth="1"/>
    <col min="4" max="4" width="5.6328125" style="2" customWidth="1"/>
    <col min="5" max="9" width="9.1796875" style="2"/>
    <col min="10" max="10" width="24.1796875" style="2" customWidth="1"/>
    <col min="11" max="16384" width="9.1796875" style="2"/>
  </cols>
  <sheetData>
    <row r="1" spans="2:14" ht="23.5">
      <c r="B1" s="5" t="s">
        <v>159</v>
      </c>
    </row>
    <row r="2" spans="2:14">
      <c r="B2" s="1"/>
    </row>
    <row r="3" spans="2:14">
      <c r="B3" s="1" t="s">
        <v>31</v>
      </c>
      <c r="J3" s="1" t="s">
        <v>31</v>
      </c>
    </row>
    <row r="4" spans="2:14">
      <c r="B4" s="2" t="s">
        <v>32</v>
      </c>
      <c r="C4" s="2">
        <v>6</v>
      </c>
      <c r="D4" s="2" t="s">
        <v>0</v>
      </c>
      <c r="J4" s="2" t="s">
        <v>32</v>
      </c>
      <c r="K4" s="2">
        <v>4</v>
      </c>
      <c r="L4" s="2" t="s">
        <v>0</v>
      </c>
    </row>
    <row r="5" spans="2:14">
      <c r="B5" s="2" t="s">
        <v>35</v>
      </c>
      <c r="C5" s="2">
        <v>120</v>
      </c>
      <c r="D5" s="2" t="s">
        <v>1</v>
      </c>
      <c r="J5" s="2" t="s">
        <v>35</v>
      </c>
      <c r="K5" s="2">
        <v>120</v>
      </c>
      <c r="L5" s="2" t="s">
        <v>1</v>
      </c>
    </row>
    <row r="7" spans="2:14">
      <c r="B7" s="1" t="s">
        <v>2</v>
      </c>
      <c r="J7" s="1" t="s">
        <v>2</v>
      </c>
    </row>
    <row r="8" spans="2:14">
      <c r="B8" s="2" t="s">
        <v>152</v>
      </c>
      <c r="C8" s="2">
        <v>220</v>
      </c>
      <c r="D8" s="2" t="s">
        <v>3</v>
      </c>
      <c r="J8" s="2" t="s">
        <v>88</v>
      </c>
      <c r="K8" s="2">
        <v>500</v>
      </c>
      <c r="L8" s="2" t="s">
        <v>3</v>
      </c>
    </row>
    <row r="9" spans="2:14">
      <c r="B9" s="2" t="s">
        <v>20</v>
      </c>
      <c r="C9" s="2">
        <v>4</v>
      </c>
      <c r="D9" s="2" t="s">
        <v>0</v>
      </c>
      <c r="J9" s="2" t="s">
        <v>20</v>
      </c>
      <c r="K9" s="2">
        <v>2</v>
      </c>
      <c r="L9" s="2" t="s">
        <v>0</v>
      </c>
    </row>
    <row r="10" spans="2:14">
      <c r="B10" s="2" t="s">
        <v>44</v>
      </c>
      <c r="C10" s="2">
        <v>3.5</v>
      </c>
      <c r="D10" s="2" t="s">
        <v>0</v>
      </c>
      <c r="J10" s="2" t="s">
        <v>44</v>
      </c>
      <c r="K10" s="2">
        <v>3.5</v>
      </c>
      <c r="L10" s="2" t="s">
        <v>0</v>
      </c>
    </row>
    <row r="12" spans="2:14">
      <c r="B12" s="1" t="s">
        <v>39</v>
      </c>
      <c r="E12" s="2" t="s">
        <v>10</v>
      </c>
      <c r="F12" s="2" t="s">
        <v>89</v>
      </c>
      <c r="J12" s="1" t="s">
        <v>39</v>
      </c>
      <c r="M12" s="2" t="s">
        <v>10</v>
      </c>
      <c r="N12" s="2" t="s">
        <v>89</v>
      </c>
    </row>
    <row r="13" spans="2:14">
      <c r="B13" s="2" t="s">
        <v>4</v>
      </c>
      <c r="C13" s="2">
        <f>(0.02+0.5)/2</f>
        <v>0.26</v>
      </c>
      <c r="D13" s="2" t="s">
        <v>5</v>
      </c>
      <c r="E13" s="2">
        <v>0.02</v>
      </c>
      <c r="F13" s="2">
        <v>0.5</v>
      </c>
      <c r="J13" s="2" t="s">
        <v>4</v>
      </c>
      <c r="K13" s="2">
        <f>(0.45+0.015)/2</f>
        <v>0.23250000000000001</v>
      </c>
      <c r="L13" s="2" t="s">
        <v>5</v>
      </c>
      <c r="M13" s="2">
        <v>1.4999999999999999E-2</v>
      </c>
      <c r="N13" s="2">
        <v>0.45</v>
      </c>
    </row>
    <row r="14" spans="2:14">
      <c r="B14" s="2" t="s">
        <v>6</v>
      </c>
      <c r="C14" s="2">
        <v>50</v>
      </c>
      <c r="D14" s="2" t="s">
        <v>7</v>
      </c>
      <c r="E14" s="2">
        <v>50</v>
      </c>
      <c r="F14" s="2">
        <v>120</v>
      </c>
      <c r="J14" s="2" t="s">
        <v>6</v>
      </c>
      <c r="K14" s="2">
        <f>(25+40)/2</f>
        <v>32.5</v>
      </c>
      <c r="L14" s="2" t="s">
        <v>7</v>
      </c>
      <c r="M14" s="2">
        <v>25</v>
      </c>
      <c r="N14" s="2">
        <v>40</v>
      </c>
    </row>
    <row r="16" spans="2:14">
      <c r="B16" s="1" t="s">
        <v>9</v>
      </c>
      <c r="J16" s="1" t="s">
        <v>9</v>
      </c>
    </row>
    <row r="17" spans="2:14">
      <c r="B17" s="2" t="s">
        <v>19</v>
      </c>
      <c r="C17" s="3">
        <f>1000*C14/(PI()*$C$4)</f>
        <v>2652.5823848649225</v>
      </c>
      <c r="D17" s="2" t="s">
        <v>8</v>
      </c>
      <c r="E17" s="3">
        <f>1000*E14/(PI()*$C$4)</f>
        <v>2652.5823848649225</v>
      </c>
      <c r="F17" s="3">
        <f>1000*F14/(PI()*$C$4)</f>
        <v>6366.1977236758139</v>
      </c>
      <c r="J17" s="2" t="s">
        <v>19</v>
      </c>
      <c r="K17" s="3">
        <f>1000*K14/(PI()*$C$4)</f>
        <v>1724.1785501621996</v>
      </c>
      <c r="L17" s="2" t="s">
        <v>8</v>
      </c>
      <c r="M17" s="3">
        <f>1000*M14/(PI()*$C$4)</f>
        <v>1326.2911924324612</v>
      </c>
      <c r="N17" s="3">
        <f>1000*N14/(PI()*$C$4)</f>
        <v>2122.065907891938</v>
      </c>
    </row>
    <row r="18" spans="2:14">
      <c r="B18" s="2" t="s">
        <v>40</v>
      </c>
      <c r="C18" s="3"/>
      <c r="J18" s="2" t="s">
        <v>40</v>
      </c>
      <c r="K18" s="3"/>
    </row>
    <row r="19" spans="2:14">
      <c r="B19" s="2" t="s">
        <v>41</v>
      </c>
      <c r="C19" s="3">
        <f>C13*C17</f>
        <v>689.67142006487984</v>
      </c>
      <c r="D19" s="2" t="s">
        <v>42</v>
      </c>
      <c r="E19" s="3">
        <f>E13*E17</f>
        <v>53.051647697298449</v>
      </c>
      <c r="F19" s="3">
        <f>F13*F17</f>
        <v>3183.098861837907</v>
      </c>
      <c r="J19" s="2" t="s">
        <v>41</v>
      </c>
      <c r="K19" s="3">
        <f>K13*K17</f>
        <v>400.87151291271141</v>
      </c>
      <c r="L19" s="2" t="s">
        <v>42</v>
      </c>
      <c r="M19" s="3">
        <f>M13*M17</f>
        <v>19.894367886486918</v>
      </c>
      <c r="N19" s="3">
        <f>N13*N17</f>
        <v>954.92965855137209</v>
      </c>
    </row>
    <row r="20" spans="2:14">
      <c r="B20" s="2" t="s">
        <v>9</v>
      </c>
      <c r="J20" s="2" t="s">
        <v>9</v>
      </c>
    </row>
    <row r="21" spans="2:14">
      <c r="B21" s="2" t="s">
        <v>43</v>
      </c>
      <c r="C21" s="4">
        <f>($C$9+$C$10+$C$4/(2*TAN(RADIANS($C$5/2))))/C19</f>
        <v>1.3386158305212049E-2</v>
      </c>
      <c r="D21" s="2" t="s">
        <v>10</v>
      </c>
      <c r="E21" s="4">
        <f>($C$9+$C$10+$C$4/(2*TAN(RADIANS($C$5/2))))/E19</f>
        <v>0.17402005796775663</v>
      </c>
      <c r="F21" s="4">
        <f>($C$9+$C$10+$C$4/(2*TAN(RADIANS($C$5/2))))/F19</f>
        <v>2.9003342994626106E-3</v>
      </c>
      <c r="J21" s="2" t="s">
        <v>43</v>
      </c>
      <c r="K21" s="4">
        <f>($C$9+$C$10+$C$4/(2*TAN(RADIANS($C$5/2))))/K19</f>
        <v>2.3029949772407826E-2</v>
      </c>
      <c r="L21" s="2" t="s">
        <v>10</v>
      </c>
      <c r="M21" s="4">
        <f>($C$9+$C$10+$C$4/(2*TAN(RADIANS($C$5/2))))/M19</f>
        <v>0.46405348791401768</v>
      </c>
      <c r="N21" s="4">
        <f>($C$9+$C$10+$C$4/(2*TAN(RADIANS($C$5/2))))/N19</f>
        <v>9.6677809982087023E-3</v>
      </c>
    </row>
    <row r="22" spans="2:14">
      <c r="C22" s="4">
        <f>C21*60</f>
        <v>0.80316949831272288</v>
      </c>
      <c r="D22" s="2" t="s">
        <v>11</v>
      </c>
      <c r="E22" s="4">
        <f>E21*60</f>
        <v>10.441203478065399</v>
      </c>
      <c r="F22" s="4">
        <f>F21*60</f>
        <v>0.17402005796775663</v>
      </c>
      <c r="K22" s="4">
        <f>K21*60</f>
        <v>1.3817969863444697</v>
      </c>
      <c r="L22" s="2" t="s">
        <v>11</v>
      </c>
      <c r="M22" s="4">
        <f>M21*60</f>
        <v>27.843209274841062</v>
      </c>
      <c r="N22" s="4">
        <f>N21*60</f>
        <v>0.58006685989252216</v>
      </c>
    </row>
    <row r="23" spans="2:14">
      <c r="B23" s="1" t="s">
        <v>145</v>
      </c>
      <c r="C23" s="4"/>
      <c r="E23" s="4"/>
      <c r="F23" s="4"/>
      <c r="J23" s="1" t="s">
        <v>145</v>
      </c>
      <c r="K23" s="4"/>
      <c r="M23" s="4"/>
      <c r="N23" s="4"/>
    </row>
    <row r="24" spans="2:14">
      <c r="B24" s="2" t="s">
        <v>12</v>
      </c>
      <c r="J24" s="2" t="s">
        <v>12</v>
      </c>
    </row>
    <row r="25" spans="2:14">
      <c r="B25" s="2" t="s">
        <v>38</v>
      </c>
      <c r="C25" s="2">
        <f>5.5*$C$8</f>
        <v>1210</v>
      </c>
      <c r="D25" s="2" t="s">
        <v>3</v>
      </c>
      <c r="E25" s="2">
        <f>5.5*$C$8</f>
        <v>1210</v>
      </c>
      <c r="F25" s="2">
        <f>5.5*$C$8</f>
        <v>1210</v>
      </c>
      <c r="J25" s="2" t="s">
        <v>38</v>
      </c>
      <c r="K25" s="2">
        <f>5.5*$C$8</f>
        <v>1210</v>
      </c>
      <c r="L25" s="2" t="s">
        <v>3</v>
      </c>
      <c r="M25" s="2">
        <f>5.5*$C$8</f>
        <v>1210</v>
      </c>
      <c r="N25" s="2">
        <f>5.5*$C$8</f>
        <v>1210</v>
      </c>
    </row>
    <row r="26" spans="2:14">
      <c r="B26" s="2" t="s">
        <v>14</v>
      </c>
      <c r="J26" s="2" t="s">
        <v>14</v>
      </c>
    </row>
    <row r="27" spans="2:14">
      <c r="B27" s="2" t="s">
        <v>15</v>
      </c>
      <c r="C27" s="2">
        <f>C13*$C$4/4</f>
        <v>0.39</v>
      </c>
      <c r="D27" s="2" t="s">
        <v>13</v>
      </c>
      <c r="E27" s="2">
        <f>E13*$C$4/4</f>
        <v>0.03</v>
      </c>
      <c r="F27" s="2">
        <f>F13*$C$4/4</f>
        <v>0.75</v>
      </c>
      <c r="J27" s="2" t="s">
        <v>15</v>
      </c>
      <c r="K27" s="2">
        <f>K13*$C$4/4</f>
        <v>0.34875</v>
      </c>
      <c r="L27" s="2" t="s">
        <v>13</v>
      </c>
      <c r="M27" s="2">
        <f>M13*$C$4/4</f>
        <v>2.2499999999999999E-2</v>
      </c>
      <c r="N27" s="2">
        <f>N13*$C$4/4</f>
        <v>0.67500000000000004</v>
      </c>
    </row>
    <row r="28" spans="2:14">
      <c r="B28" s="2" t="s">
        <v>16</v>
      </c>
      <c r="J28" s="2" t="s">
        <v>16</v>
      </c>
    </row>
    <row r="29" spans="2:14">
      <c r="B29" s="2" t="s">
        <v>17</v>
      </c>
      <c r="C29" s="2">
        <f>C25*C27</f>
        <v>471.90000000000003</v>
      </c>
      <c r="D29" s="2" t="s">
        <v>18</v>
      </c>
      <c r="E29" s="2">
        <f>E25*E27</f>
        <v>36.299999999999997</v>
      </c>
      <c r="F29" s="2">
        <f>F25*F27</f>
        <v>907.5</v>
      </c>
      <c r="J29" s="2" t="s">
        <v>17</v>
      </c>
      <c r="K29" s="2">
        <f>K25*K27</f>
        <v>421.98750000000001</v>
      </c>
      <c r="L29" s="2" t="s">
        <v>18</v>
      </c>
      <c r="M29" s="2">
        <f>M25*M27</f>
        <v>27.224999999999998</v>
      </c>
      <c r="N29" s="2">
        <f>N25*N27</f>
        <v>816.75</v>
      </c>
    </row>
    <row r="30" spans="2:14">
      <c r="B30" s="2" t="s">
        <v>22</v>
      </c>
      <c r="J30" s="2" t="s">
        <v>22</v>
      </c>
    </row>
    <row r="31" spans="2:14">
      <c r="B31" s="2" t="s">
        <v>23</v>
      </c>
      <c r="C31" s="2">
        <f>0.6*$C$4</f>
        <v>3.5999999999999996</v>
      </c>
      <c r="D31" s="2" t="s">
        <v>0</v>
      </c>
      <c r="E31" s="2">
        <f>0.6*$C$4</f>
        <v>3.5999999999999996</v>
      </c>
      <c r="F31" s="2">
        <f>0.6*$C$4</f>
        <v>3.5999999999999996</v>
      </c>
      <c r="J31" s="2" t="s">
        <v>23</v>
      </c>
      <c r="K31" s="2">
        <f>0.6*$C$4</f>
        <v>3.5999999999999996</v>
      </c>
      <c r="L31" s="2" t="s">
        <v>0</v>
      </c>
      <c r="M31" s="2">
        <f>0.6*$C$4</f>
        <v>3.5999999999999996</v>
      </c>
      <c r="N31" s="2">
        <f>0.6*$C$4</f>
        <v>3.5999999999999996</v>
      </c>
    </row>
    <row r="32" spans="2:14">
      <c r="B32" s="2" t="s">
        <v>33</v>
      </c>
      <c r="J32" s="2" t="s">
        <v>33</v>
      </c>
    </row>
    <row r="33" spans="2:16">
      <c r="B33" s="2" t="s">
        <v>21</v>
      </c>
      <c r="C33" s="2">
        <f>C29*C31/1000</f>
        <v>1.6988399999999999</v>
      </c>
      <c r="D33" s="2" t="s">
        <v>24</v>
      </c>
      <c r="E33" s="2">
        <f>E29*E31/1000</f>
        <v>0.13067999999999999</v>
      </c>
      <c r="F33" s="2">
        <f>F29*F31/1000</f>
        <v>3.2669999999999995</v>
      </c>
      <c r="J33" s="2" t="s">
        <v>21</v>
      </c>
      <c r="K33" s="2">
        <f>K29*K31/1000</f>
        <v>1.519155</v>
      </c>
      <c r="L33" s="2" t="s">
        <v>24</v>
      </c>
      <c r="M33" s="2">
        <f>M29*M31/1000</f>
        <v>9.8009999999999972E-2</v>
      </c>
      <c r="N33" s="2">
        <f>N29*N31/1000</f>
        <v>2.9402999999999997</v>
      </c>
    </row>
    <row r="34" spans="2:16">
      <c r="B34" s="2" t="s">
        <v>34</v>
      </c>
      <c r="J34" s="2" t="s">
        <v>34</v>
      </c>
    </row>
    <row r="35" spans="2:16">
      <c r="B35" s="2" t="s">
        <v>36</v>
      </c>
      <c r="C35" s="2">
        <f>C33*2*3.14*C17/60</f>
        <v>471.66076681101077</v>
      </c>
      <c r="D35" s="2" t="s">
        <v>90</v>
      </c>
      <c r="E35" s="2">
        <f>E33*2*3.14*E17/60</f>
        <v>36.281597447000834</v>
      </c>
      <c r="F35" s="2">
        <f>F33*2*3.14*F17/60</f>
        <v>2176.8958468200494</v>
      </c>
      <c r="J35" s="2" t="s">
        <v>36</v>
      </c>
      <c r="K35" s="2">
        <f>K33*2*3.14*K17/60</f>
        <v>274.15282070890009</v>
      </c>
      <c r="L35" s="2" t="s">
        <v>90</v>
      </c>
      <c r="M35" s="2">
        <f>M33*2*3.14*M17/60</f>
        <v>13.605599042625308</v>
      </c>
      <c r="N35" s="2">
        <f>N33*2*3.14*N17/60</f>
        <v>653.06875404601487</v>
      </c>
    </row>
    <row r="36" spans="2:16">
      <c r="B36" s="2" t="s">
        <v>25</v>
      </c>
      <c r="J36" s="2" t="s">
        <v>25</v>
      </c>
    </row>
    <row r="37" spans="2:16">
      <c r="B37" s="2" t="s">
        <v>37</v>
      </c>
      <c r="C37" s="3">
        <f>2*C29*SIN(RADIANS($C$5/2))</f>
        <v>817.35477609175325</v>
      </c>
      <c r="D37" s="2" t="s">
        <v>18</v>
      </c>
      <c r="E37" s="3">
        <f>2*E29*SIN(RADIANS($C$5/2))</f>
        <v>62.873444314750238</v>
      </c>
      <c r="F37" s="3">
        <f>2*F29*SIN(RADIANS($C$5/2))</f>
        <v>1571.836107868756</v>
      </c>
      <c r="J37" s="2" t="s">
        <v>37</v>
      </c>
      <c r="K37" s="3">
        <f>2*K29*SIN(RADIANS($C$5/2))</f>
        <v>730.90379015897156</v>
      </c>
      <c r="L37" s="2" t="s">
        <v>18</v>
      </c>
      <c r="M37" s="3">
        <f>2*M29*SIN(RADIANS($C$5/2))</f>
        <v>47.15508323606268</v>
      </c>
      <c r="N37" s="3">
        <f>2*N29*SIN(RADIANS($C$5/2))</f>
        <v>1414.6524970818805</v>
      </c>
    </row>
    <row r="39" spans="2:16">
      <c r="B39" s="1" t="s">
        <v>138</v>
      </c>
      <c r="C39" s="1"/>
      <c r="J39" s="1" t="s">
        <v>138</v>
      </c>
      <c r="K39" s="1"/>
    </row>
    <row r="40" spans="2:16">
      <c r="B40" s="2" t="s">
        <v>26</v>
      </c>
      <c r="C40" s="2">
        <v>6</v>
      </c>
      <c r="D40" s="2" t="s">
        <v>27</v>
      </c>
      <c r="E40" s="2">
        <v>6</v>
      </c>
      <c r="F40" s="2">
        <v>6</v>
      </c>
      <c r="J40" s="2" t="s">
        <v>26</v>
      </c>
      <c r="K40" s="2">
        <v>6</v>
      </c>
      <c r="L40" s="2" t="s">
        <v>27</v>
      </c>
      <c r="M40" s="2">
        <v>6</v>
      </c>
      <c r="N40" s="2">
        <v>6</v>
      </c>
    </row>
    <row r="41" spans="2:16">
      <c r="B41" s="2" t="s">
        <v>28</v>
      </c>
      <c r="J41" s="2" t="s">
        <v>28</v>
      </c>
    </row>
    <row r="42" spans="2:16">
      <c r="B42" s="2" t="s">
        <v>45</v>
      </c>
      <c r="C42" s="2">
        <f>C37/(100000*C40)</f>
        <v>1.362257960152922E-3</v>
      </c>
      <c r="D42" s="2" t="s">
        <v>29</v>
      </c>
      <c r="E42" s="2">
        <f>E37/(100000*E40)</f>
        <v>1.0478907385791706E-4</v>
      </c>
      <c r="F42" s="2">
        <f>F37/(100000*F40)</f>
        <v>2.6197268464479267E-3</v>
      </c>
      <c r="J42" s="2" t="s">
        <v>45</v>
      </c>
      <c r="K42" s="2">
        <f>K37/(100000*K40)</f>
        <v>1.2181729835982859E-3</v>
      </c>
      <c r="L42" s="2" t="s">
        <v>29</v>
      </c>
      <c r="M42" s="2">
        <f>M37/(100000*M40)</f>
        <v>7.8591805393437794E-5</v>
      </c>
      <c r="N42" s="2">
        <f>N37/(100000*N40)</f>
        <v>2.3577541618031339E-3</v>
      </c>
    </row>
    <row r="43" spans="2:16">
      <c r="B43" s="2" t="s">
        <v>30</v>
      </c>
      <c r="J43" s="2" t="s">
        <v>30</v>
      </c>
    </row>
    <row r="44" spans="2:16">
      <c r="B44" s="2" t="s">
        <v>46</v>
      </c>
      <c r="C44" s="2">
        <f>(4*C42/3.14)^0.5</f>
        <v>4.1657657864953609E-2</v>
      </c>
      <c r="D44" s="2" t="s">
        <v>29</v>
      </c>
      <c r="E44" s="2">
        <f>(4*E42/3.14)^0.5</f>
        <v>1.1553755495986612E-2</v>
      </c>
      <c r="F44" s="2">
        <f>(4*F42/3.14)^0.5</f>
        <v>5.7768777479933059E-2</v>
      </c>
      <c r="J44" s="2" t="s">
        <v>46</v>
      </c>
      <c r="K44" s="2">
        <f>(4*K42/3.14)^0.5</f>
        <v>3.9393054184203587E-2</v>
      </c>
      <c r="L44" s="2" t="s">
        <v>29</v>
      </c>
      <c r="M44" s="2">
        <f>(4*M42/3.14)^0.5</f>
        <v>1.0005845768638482E-2</v>
      </c>
      <c r="N44" s="2">
        <f>(4*N42/3.14)^0.5</f>
        <v>5.4804274344009141E-2</v>
      </c>
    </row>
    <row r="45" spans="2:16">
      <c r="C45" s="6">
        <f>C44*1000</f>
        <v>41.657657864953606</v>
      </c>
      <c r="D45" s="2" t="s">
        <v>0</v>
      </c>
      <c r="E45" s="6">
        <f>E44*1000</f>
        <v>11.553755495986612</v>
      </c>
      <c r="F45" s="6">
        <f>F44*1000</f>
        <v>57.768777479933057</v>
      </c>
      <c r="K45" s="6">
        <f>K44*1000</f>
        <v>39.393054184203585</v>
      </c>
      <c r="L45" s="2" t="s">
        <v>0</v>
      </c>
      <c r="M45" s="6">
        <f>M44*1000</f>
        <v>10.005845768638482</v>
      </c>
      <c r="N45" s="6">
        <f>N44*1000</f>
        <v>54.804274344009144</v>
      </c>
    </row>
    <row r="46" spans="2:16">
      <c r="B46" s="1" t="s">
        <v>146</v>
      </c>
      <c r="J46" s="1" t="s">
        <v>146</v>
      </c>
    </row>
    <row r="47" spans="2:16">
      <c r="B47" s="21" t="s">
        <v>160</v>
      </c>
      <c r="C47" s="21"/>
      <c r="D47" s="21"/>
      <c r="E47" s="21"/>
      <c r="F47" s="21"/>
      <c r="G47" s="21"/>
      <c r="H47" s="21"/>
      <c r="J47" s="21" t="s">
        <v>160</v>
      </c>
      <c r="K47" s="21"/>
      <c r="L47" s="21"/>
      <c r="M47" s="21"/>
      <c r="N47" s="21"/>
      <c r="O47" s="21"/>
      <c r="P47" s="21"/>
    </row>
    <row r="48" spans="2:16">
      <c r="B48" s="2" t="s">
        <v>98</v>
      </c>
      <c r="C48" s="2">
        <v>20</v>
      </c>
      <c r="D48" s="2" t="s">
        <v>99</v>
      </c>
      <c r="J48" s="2" t="s">
        <v>98</v>
      </c>
      <c r="K48" s="2">
        <v>20</v>
      </c>
      <c r="L48" s="2" t="s">
        <v>99</v>
      </c>
    </row>
    <row r="49" spans="2:16">
      <c r="B49" s="2" t="s">
        <v>56</v>
      </c>
      <c r="C49" s="2">
        <v>50</v>
      </c>
      <c r="D49" s="2" t="s">
        <v>0</v>
      </c>
      <c r="J49" s="2" t="s">
        <v>56</v>
      </c>
      <c r="K49" s="2">
        <v>50</v>
      </c>
      <c r="L49" s="2" t="s">
        <v>0</v>
      </c>
    </row>
    <row r="50" spans="2:16">
      <c r="B50" s="2" t="s">
        <v>92</v>
      </c>
      <c r="C50" s="2">
        <v>0.75</v>
      </c>
      <c r="D50" s="2" t="s">
        <v>69</v>
      </c>
      <c r="J50" s="2" t="s">
        <v>92</v>
      </c>
      <c r="K50" s="2">
        <v>0.75</v>
      </c>
      <c r="L50" s="2" t="s">
        <v>69</v>
      </c>
    </row>
    <row r="51" spans="2:16">
      <c r="B51" s="2" t="s">
        <v>67</v>
      </c>
      <c r="C51" s="2">
        <v>100</v>
      </c>
      <c r="D51" s="2" t="s">
        <v>0</v>
      </c>
      <c r="J51" s="2" t="s">
        <v>67</v>
      </c>
      <c r="K51" s="2">
        <v>100</v>
      </c>
      <c r="L51" s="2" t="s">
        <v>0</v>
      </c>
    </row>
    <row r="52" spans="2:16">
      <c r="B52" s="2" t="s">
        <v>93</v>
      </c>
      <c r="C52" s="4">
        <f>2*(C51/1000)/C50</f>
        <v>0.26666666666666666</v>
      </c>
      <c r="D52" s="2" t="s">
        <v>11</v>
      </c>
      <c r="J52" s="2" t="s">
        <v>93</v>
      </c>
      <c r="K52" s="4">
        <f>2*(K51/1000)/K50</f>
        <v>0.26666666666666666</v>
      </c>
      <c r="L52" s="2" t="s">
        <v>11</v>
      </c>
    </row>
    <row r="53" spans="2:16">
      <c r="B53" s="2" t="s">
        <v>137</v>
      </c>
      <c r="C53" s="4">
        <f>C52+C22</f>
        <v>1.0698361649793895</v>
      </c>
      <c r="D53" s="2" t="s">
        <v>11</v>
      </c>
      <c r="J53" s="2" t="s">
        <v>137</v>
      </c>
      <c r="K53" s="4">
        <f>K52+K22</f>
        <v>1.6484636530111363</v>
      </c>
      <c r="L53" s="2" t="s">
        <v>11</v>
      </c>
    </row>
    <row r="54" spans="2:16">
      <c r="B54" s="8" t="s">
        <v>94</v>
      </c>
      <c r="C54" s="8"/>
      <c r="D54" s="8"/>
      <c r="J54" s="8" t="s">
        <v>94</v>
      </c>
      <c r="K54" s="8"/>
      <c r="L54" s="8"/>
    </row>
    <row r="55" spans="2:16">
      <c r="B55" s="8" t="s">
        <v>26</v>
      </c>
      <c r="C55" s="8">
        <v>6</v>
      </c>
      <c r="D55" s="8" t="s">
        <v>27</v>
      </c>
      <c r="J55" s="8" t="s">
        <v>26</v>
      </c>
      <c r="K55" s="8">
        <v>6</v>
      </c>
      <c r="L55" s="8" t="s">
        <v>27</v>
      </c>
    </row>
    <row r="56" spans="2:16">
      <c r="B56" s="8" t="s">
        <v>60</v>
      </c>
      <c r="C56" s="9">
        <f>(PI() * (C49/1000)^2/4* C55*10^5)</f>
        <v>1178.0972450961726</v>
      </c>
      <c r="D56" s="8" t="s">
        <v>61</v>
      </c>
      <c r="J56" s="8" t="s">
        <v>60</v>
      </c>
      <c r="K56" s="9">
        <f>(PI() * (K49/1000)^2/4* K55*10^5)</f>
        <v>1178.0972450961726</v>
      </c>
      <c r="L56" s="8" t="s">
        <v>61</v>
      </c>
    </row>
    <row r="57" spans="2:16">
      <c r="B57" s="2" t="s">
        <v>95</v>
      </c>
      <c r="J57" s="2" t="s">
        <v>95</v>
      </c>
    </row>
    <row r="58" spans="2:16">
      <c r="B58" s="2" t="s">
        <v>72</v>
      </c>
      <c r="C58" s="4">
        <f>C50/C52</f>
        <v>2.8125</v>
      </c>
      <c r="D58" s="2" t="s">
        <v>73</v>
      </c>
      <c r="J58" s="2" t="s">
        <v>72</v>
      </c>
      <c r="K58" s="4">
        <f>K50/K52</f>
        <v>2.8125</v>
      </c>
      <c r="L58" s="2" t="s">
        <v>73</v>
      </c>
    </row>
    <row r="59" spans="2:16">
      <c r="B59" s="2" t="s">
        <v>96</v>
      </c>
      <c r="C59" s="4">
        <f>C48*C58</f>
        <v>56.25</v>
      </c>
      <c r="D59" s="2" t="s">
        <v>18</v>
      </c>
      <c r="J59" s="2" t="s">
        <v>96</v>
      </c>
      <c r="K59" s="4">
        <f>K48*K58</f>
        <v>56.25</v>
      </c>
      <c r="L59" s="2" t="s">
        <v>18</v>
      </c>
    </row>
    <row r="60" spans="2:16">
      <c r="B60" s="2" t="s">
        <v>100</v>
      </c>
      <c r="C60" s="3">
        <f>C37+C59</f>
        <v>873.60477609175325</v>
      </c>
      <c r="D60" s="2" t="s">
        <v>18</v>
      </c>
      <c r="E60" s="2" t="s">
        <v>101</v>
      </c>
      <c r="J60" s="2" t="s">
        <v>100</v>
      </c>
      <c r="K60" s="3">
        <f>K37+K59</f>
        <v>787.15379015897156</v>
      </c>
      <c r="L60" s="2" t="s">
        <v>18</v>
      </c>
      <c r="M60" s="2" t="s">
        <v>101</v>
      </c>
    </row>
    <row r="62" spans="2:16">
      <c r="B62" s="1" t="s">
        <v>147</v>
      </c>
      <c r="J62" s="1" t="s">
        <v>147</v>
      </c>
    </row>
    <row r="63" spans="2:16">
      <c r="B63" s="8" t="s">
        <v>125</v>
      </c>
      <c r="C63" s="8">
        <v>0.2</v>
      </c>
      <c r="D63" s="8"/>
      <c r="E63" s="8"/>
      <c r="F63" s="8"/>
      <c r="G63" s="8"/>
      <c r="H63" s="8"/>
      <c r="J63" s="8" t="s">
        <v>125</v>
      </c>
      <c r="K63" s="8">
        <v>0.2</v>
      </c>
      <c r="L63" s="8"/>
      <c r="M63" s="8"/>
      <c r="N63" s="8"/>
      <c r="O63" s="8"/>
      <c r="P63" s="8"/>
    </row>
    <row r="64" spans="2:16">
      <c r="B64" s="8" t="s">
        <v>126</v>
      </c>
      <c r="C64" s="11">
        <f>C60*C63</f>
        <v>174.72095521835067</v>
      </c>
      <c r="D64" s="8" t="s">
        <v>18</v>
      </c>
      <c r="E64" s="8"/>
      <c r="F64" s="8"/>
      <c r="G64" s="8"/>
      <c r="H64" s="8"/>
      <c r="J64" s="8" t="s">
        <v>126</v>
      </c>
      <c r="K64" s="11">
        <f>K60*K63</f>
        <v>157.43075803179431</v>
      </c>
      <c r="L64" s="8" t="s">
        <v>18</v>
      </c>
      <c r="M64" s="8"/>
      <c r="N64" s="8"/>
      <c r="O64" s="8"/>
      <c r="P64" s="8"/>
    </row>
    <row r="65" spans="2:16">
      <c r="B65" s="8" t="s">
        <v>53</v>
      </c>
      <c r="C65" s="8">
        <v>6</v>
      </c>
      <c r="D65" s="8" t="s">
        <v>54</v>
      </c>
      <c r="E65" s="8"/>
      <c r="F65" s="8"/>
      <c r="G65" s="8"/>
      <c r="H65" s="8"/>
      <c r="J65" s="8" t="s">
        <v>53</v>
      </c>
      <c r="K65" s="8">
        <v>6</v>
      </c>
      <c r="L65" s="8" t="s">
        <v>54</v>
      </c>
      <c r="M65" s="8"/>
      <c r="N65" s="8"/>
      <c r="O65" s="8"/>
      <c r="P65" s="8"/>
    </row>
    <row r="66" spans="2:16">
      <c r="B66" s="8" t="s">
        <v>55</v>
      </c>
      <c r="C66" s="13">
        <f>C64/(C65*10^5)</f>
        <v>2.9120159203058443E-4</v>
      </c>
      <c r="D66" s="8" t="s">
        <v>29</v>
      </c>
      <c r="E66" s="8"/>
      <c r="F66" s="8"/>
      <c r="G66" s="8"/>
      <c r="H66" s="8"/>
      <c r="J66" s="8" t="s">
        <v>55</v>
      </c>
      <c r="K66" s="13">
        <f>K64/(K65*10^5)</f>
        <v>2.6238459671965719E-4</v>
      </c>
      <c r="L66" s="8" t="s">
        <v>29</v>
      </c>
      <c r="M66" s="8"/>
      <c r="N66" s="8"/>
      <c r="O66" s="8"/>
      <c r="P66" s="8"/>
    </row>
    <row r="67" spans="2:16">
      <c r="B67" s="8" t="s">
        <v>56</v>
      </c>
      <c r="C67" s="13">
        <f>(4*C66/PI())^0.5</f>
        <v>1.925537282067465E-2</v>
      </c>
      <c r="D67" s="8" t="s">
        <v>57</v>
      </c>
      <c r="E67" s="9">
        <f>C67*1000</f>
        <v>19.255372820674651</v>
      </c>
      <c r="F67" s="8" t="s">
        <v>0</v>
      </c>
      <c r="G67" s="8"/>
      <c r="H67" s="8"/>
      <c r="J67" s="8" t="s">
        <v>56</v>
      </c>
      <c r="K67" s="13">
        <f>(4*K66/PI())^0.5</f>
        <v>1.82778129017904E-2</v>
      </c>
      <c r="L67" s="8" t="s">
        <v>57</v>
      </c>
      <c r="M67" s="9">
        <f>K67*1000</f>
        <v>18.277812901790401</v>
      </c>
      <c r="N67" s="8" t="s">
        <v>0</v>
      </c>
      <c r="O67" s="8"/>
      <c r="P67" s="8"/>
    </row>
    <row r="68" spans="2:16">
      <c r="B68" s="20" t="s">
        <v>97</v>
      </c>
      <c r="C68" s="20"/>
      <c r="D68" s="20"/>
      <c r="E68" s="20"/>
      <c r="F68" s="20"/>
      <c r="G68" s="20"/>
      <c r="H68" s="20"/>
      <c r="J68" s="20" t="s">
        <v>97</v>
      </c>
      <c r="K68" s="20"/>
      <c r="L68" s="20"/>
      <c r="M68" s="20"/>
      <c r="N68" s="20"/>
      <c r="O68" s="20"/>
      <c r="P68" s="20"/>
    </row>
    <row r="69" spans="2:16">
      <c r="B69" s="12" t="s">
        <v>58</v>
      </c>
      <c r="C69" s="15">
        <v>25</v>
      </c>
      <c r="D69" s="12" t="s">
        <v>0</v>
      </c>
      <c r="E69" s="12"/>
      <c r="F69" s="12"/>
      <c r="G69" s="12"/>
      <c r="H69" s="12"/>
      <c r="J69" s="12" t="s">
        <v>58</v>
      </c>
      <c r="K69" s="15">
        <v>25</v>
      </c>
      <c r="L69" s="12" t="s">
        <v>0</v>
      </c>
      <c r="M69" s="12"/>
      <c r="N69" s="12"/>
      <c r="O69" s="12"/>
      <c r="P69" s="12"/>
    </row>
    <row r="70" spans="2:16">
      <c r="B70" s="8" t="s">
        <v>67</v>
      </c>
      <c r="C70" s="8">
        <v>100</v>
      </c>
      <c r="D70" s="8" t="s">
        <v>0</v>
      </c>
      <c r="E70" s="8"/>
      <c r="F70" s="8"/>
      <c r="G70" s="8"/>
      <c r="H70" s="8"/>
      <c r="J70" s="8" t="s">
        <v>67</v>
      </c>
      <c r="K70" s="8">
        <v>100</v>
      </c>
      <c r="L70" s="8" t="s">
        <v>0</v>
      </c>
      <c r="M70" s="8"/>
      <c r="N70" s="8"/>
      <c r="O70" s="8"/>
      <c r="P70" s="8"/>
    </row>
    <row r="71" spans="2:16">
      <c r="B71" s="8" t="s">
        <v>60</v>
      </c>
      <c r="C71" s="9">
        <f>(PI() * (C69/1000)^2/4* C65*10^5)</f>
        <v>294.52431127404316</v>
      </c>
      <c r="D71" s="8" t="s">
        <v>61</v>
      </c>
      <c r="E71" s="8"/>
      <c r="F71" s="8"/>
      <c r="G71" s="8"/>
      <c r="H71" s="8"/>
      <c r="J71" s="8" t="s">
        <v>60</v>
      </c>
      <c r="K71" s="9">
        <f>(PI() * (K69/1000)^2/4* K65*10^5)</f>
        <v>294.52431127404316</v>
      </c>
      <c r="L71" s="8" t="s">
        <v>61</v>
      </c>
      <c r="M71" s="8"/>
      <c r="N71" s="8"/>
      <c r="O71" s="8"/>
      <c r="P71" s="8"/>
    </row>
    <row r="72" spans="2:16">
      <c r="B72" s="2" t="s">
        <v>139</v>
      </c>
      <c r="C72" s="2">
        <v>1.5</v>
      </c>
      <c r="D72" s="2" t="s">
        <v>69</v>
      </c>
      <c r="J72" s="2" t="s">
        <v>139</v>
      </c>
      <c r="K72" s="2">
        <v>1.5</v>
      </c>
      <c r="L72" s="2" t="s">
        <v>69</v>
      </c>
    </row>
    <row r="73" spans="2:16">
      <c r="B73" s="12" t="s">
        <v>67</v>
      </c>
      <c r="C73" s="15">
        <v>100</v>
      </c>
      <c r="D73" s="2" t="s">
        <v>0</v>
      </c>
      <c r="J73" s="12" t="s">
        <v>67</v>
      </c>
      <c r="K73" s="15">
        <v>100</v>
      </c>
      <c r="L73" s="2" t="s">
        <v>0</v>
      </c>
    </row>
    <row r="74" spans="2:16">
      <c r="B74" s="2" t="s">
        <v>93</v>
      </c>
      <c r="C74" s="4">
        <f>2*(C73/1000)/C72</f>
        <v>0.13333333333333333</v>
      </c>
      <c r="D74" s="2" t="s">
        <v>11</v>
      </c>
      <c r="J74" s="2" t="s">
        <v>93</v>
      </c>
      <c r="K74" s="4">
        <f>2*(K73/1000)/K72</f>
        <v>0.13333333333333333</v>
      </c>
      <c r="L74" s="2" t="s">
        <v>11</v>
      </c>
    </row>
    <row r="76" spans="2:16">
      <c r="B76" s="1" t="s">
        <v>119</v>
      </c>
      <c r="J76" s="1" t="s">
        <v>119</v>
      </c>
    </row>
    <row r="77" spans="2:16">
      <c r="B77" s="2" t="s">
        <v>102</v>
      </c>
      <c r="C77" s="4">
        <v>2690</v>
      </c>
      <c r="D77" s="2" t="s">
        <v>103</v>
      </c>
      <c r="J77" s="2" t="s">
        <v>102</v>
      </c>
      <c r="K77" s="4">
        <v>2690</v>
      </c>
      <c r="L77" s="2" t="s">
        <v>103</v>
      </c>
    </row>
    <row r="78" spans="2:16">
      <c r="B78" s="2" t="s">
        <v>120</v>
      </c>
      <c r="C78" s="4">
        <f>70*70*50*C77/10^9</f>
        <v>0.65905000000000002</v>
      </c>
      <c r="D78" s="2" t="s">
        <v>99</v>
      </c>
      <c r="J78" s="2" t="s">
        <v>120</v>
      </c>
      <c r="K78" s="4">
        <f>70*70*50*K77/10^9</f>
        <v>0.65905000000000002</v>
      </c>
      <c r="L78" s="2" t="s">
        <v>99</v>
      </c>
    </row>
    <row r="79" spans="2:16">
      <c r="B79" s="2" t="s">
        <v>114</v>
      </c>
      <c r="C79" s="4">
        <f>C78*(70^2+70^2)/12</f>
        <v>538.22416666666675</v>
      </c>
      <c r="D79" s="2" t="s">
        <v>104</v>
      </c>
      <c r="J79" s="2" t="s">
        <v>114</v>
      </c>
      <c r="K79" s="4">
        <f>K78*(70^2+70^2)/12</f>
        <v>538.22416666666675</v>
      </c>
      <c r="L79" s="2" t="s">
        <v>104</v>
      </c>
    </row>
    <row r="80" spans="2:16">
      <c r="B80" s="2" t="s">
        <v>121</v>
      </c>
      <c r="C80" s="4">
        <f>350*350*20*$C$77/10^9</f>
        <v>6.5904999999999996</v>
      </c>
      <c r="D80" s="2" t="s">
        <v>99</v>
      </c>
      <c r="J80" s="2" t="s">
        <v>121</v>
      </c>
      <c r="K80" s="4">
        <f>350*350*20*$C$77/10^9</f>
        <v>6.5904999999999996</v>
      </c>
      <c r="L80" s="2" t="s">
        <v>99</v>
      </c>
    </row>
    <row r="81" spans="2:14">
      <c r="B81" s="2" t="s">
        <v>115</v>
      </c>
      <c r="C81" s="4">
        <f>C80*(350^2+350^2)/12</f>
        <v>134556.04166666666</v>
      </c>
      <c r="D81" s="2" t="s">
        <v>104</v>
      </c>
      <c r="J81" s="2" t="s">
        <v>115</v>
      </c>
      <c r="K81" s="4">
        <f>K80*(350^2+350^2)/12</f>
        <v>134556.04166666666</v>
      </c>
      <c r="L81" s="2" t="s">
        <v>104</v>
      </c>
    </row>
    <row r="82" spans="2:14">
      <c r="B82" s="2" t="s">
        <v>122</v>
      </c>
      <c r="C82" s="4">
        <f>3.14*75^2*C77*100/10^9</f>
        <v>4.7512125000000003</v>
      </c>
      <c r="D82" s="2" t="s">
        <v>99</v>
      </c>
      <c r="J82" s="2" t="s">
        <v>122</v>
      </c>
      <c r="K82" s="4">
        <f>3.14*75^2*K77*100/10^9</f>
        <v>4.7512125000000003</v>
      </c>
      <c r="L82" s="2" t="s">
        <v>99</v>
      </c>
    </row>
    <row r="83" spans="2:14">
      <c r="B83" s="2" t="s">
        <v>116</v>
      </c>
      <c r="C83" s="4">
        <f>C82*75^2/2</f>
        <v>13362.78515625</v>
      </c>
      <c r="D83" s="2" t="s">
        <v>104</v>
      </c>
      <c r="J83" s="2" t="s">
        <v>116</v>
      </c>
      <c r="K83" s="4">
        <f>K82*75^2/2</f>
        <v>13362.78515625</v>
      </c>
      <c r="L83" s="2" t="s">
        <v>104</v>
      </c>
    </row>
    <row r="84" spans="2:14">
      <c r="B84" s="2" t="s">
        <v>117</v>
      </c>
      <c r="C84" s="4">
        <f>C79+C81+C83</f>
        <v>148457.05098958331</v>
      </c>
      <c r="D84" s="2" t="s">
        <v>104</v>
      </c>
      <c r="J84" s="2" t="s">
        <v>117</v>
      </c>
      <c r="K84" s="4">
        <f>K79+K81+K83</f>
        <v>148457.05098958331</v>
      </c>
      <c r="L84" s="2" t="s">
        <v>104</v>
      </c>
    </row>
    <row r="86" spans="2:14">
      <c r="B86" s="1" t="s">
        <v>155</v>
      </c>
      <c r="J86" s="1" t="s">
        <v>148</v>
      </c>
    </row>
    <row r="87" spans="2:14">
      <c r="B87" s="2" t="s">
        <v>118</v>
      </c>
      <c r="J87" s="2" t="s">
        <v>118</v>
      </c>
    </row>
    <row r="88" spans="2:14">
      <c r="B88" s="2" t="s">
        <v>105</v>
      </c>
      <c r="C88" s="2">
        <v>2.5</v>
      </c>
      <c r="D88" s="2" t="s">
        <v>11</v>
      </c>
      <c r="J88" s="2" t="s">
        <v>105</v>
      </c>
      <c r="K88" s="2">
        <v>2.5</v>
      </c>
      <c r="L88" s="2" t="s">
        <v>11</v>
      </c>
    </row>
    <row r="89" spans="2:14">
      <c r="B89" s="2" t="s">
        <v>106</v>
      </c>
      <c r="C89" s="2">
        <v>180</v>
      </c>
      <c r="D89" s="2" t="s">
        <v>1</v>
      </c>
      <c r="E89" s="2">
        <v>3.14</v>
      </c>
      <c r="F89" s="2" t="s">
        <v>107</v>
      </c>
      <c r="J89" s="2" t="s">
        <v>106</v>
      </c>
      <c r="K89" s="2">
        <v>180</v>
      </c>
      <c r="L89" s="2" t="s">
        <v>1</v>
      </c>
      <c r="M89" s="2">
        <v>3.14</v>
      </c>
      <c r="N89" s="2" t="s">
        <v>107</v>
      </c>
    </row>
    <row r="90" spans="2:14">
      <c r="B90" s="2" t="s">
        <v>140</v>
      </c>
      <c r="C90" s="4">
        <f>2*E89/C88^2</f>
        <v>1.0048000000000001</v>
      </c>
      <c r="D90" s="2" t="s">
        <v>108</v>
      </c>
      <c r="J90" s="2" t="s">
        <v>140</v>
      </c>
      <c r="K90" s="4">
        <f>2*M89/K88^2</f>
        <v>1.0048000000000001</v>
      </c>
      <c r="L90" s="2" t="s">
        <v>108</v>
      </c>
    </row>
    <row r="91" spans="2:14">
      <c r="B91" s="2" t="s">
        <v>109</v>
      </c>
      <c r="C91" s="4">
        <f>C90*C88</f>
        <v>2.5120000000000005</v>
      </c>
      <c r="D91" s="2" t="s">
        <v>110</v>
      </c>
      <c r="J91" s="2" t="s">
        <v>109</v>
      </c>
      <c r="K91" s="4">
        <f>K90*K88</f>
        <v>2.5120000000000005</v>
      </c>
      <c r="L91" s="2" t="s">
        <v>110</v>
      </c>
    </row>
    <row r="92" spans="2:14">
      <c r="B92" s="2" t="s">
        <v>112</v>
      </c>
      <c r="C92" s="14">
        <f>C84*C90/10^6</f>
        <v>0.14916964483433334</v>
      </c>
      <c r="D92" s="2" t="s">
        <v>24</v>
      </c>
      <c r="J92" s="2" t="s">
        <v>112</v>
      </c>
      <c r="K92" s="14">
        <f>K84*K90/10^6</f>
        <v>0.14916964483433334</v>
      </c>
      <c r="L92" s="2" t="s">
        <v>24</v>
      </c>
    </row>
    <row r="93" spans="2:14">
      <c r="B93" s="2" t="s">
        <v>111</v>
      </c>
      <c r="C93" s="14">
        <f>0.5*C84*C91^2/10^6</f>
        <v>0.46839268477980678</v>
      </c>
      <c r="D93" s="2" t="s">
        <v>113</v>
      </c>
      <c r="E93" s="2" t="s">
        <v>141</v>
      </c>
      <c r="J93" s="2" t="s">
        <v>111</v>
      </c>
      <c r="K93" s="14">
        <f>0.5*K84*K91^2/10^6</f>
        <v>0.46839268477980678</v>
      </c>
      <c r="L93" s="2" t="s">
        <v>113</v>
      </c>
      <c r="M93" s="2" t="s">
        <v>141</v>
      </c>
    </row>
    <row r="95" spans="2:14">
      <c r="B95" s="1" t="s">
        <v>149</v>
      </c>
      <c r="J95" s="1" t="s">
        <v>149</v>
      </c>
    </row>
    <row r="96" spans="2:14">
      <c r="B96" s="8" t="s">
        <v>127</v>
      </c>
      <c r="C96" s="8">
        <v>10</v>
      </c>
      <c r="D96" s="8" t="s">
        <v>11</v>
      </c>
      <c r="J96" s="8" t="s">
        <v>127</v>
      </c>
      <c r="K96" s="8">
        <v>10</v>
      </c>
      <c r="L96" s="8" t="s">
        <v>11</v>
      </c>
    </row>
    <row r="97" spans="2:14">
      <c r="B97" s="8" t="s">
        <v>150</v>
      </c>
      <c r="C97" s="8">
        <v>5</v>
      </c>
      <c r="D97" s="8" t="s">
        <v>11</v>
      </c>
      <c r="J97" s="8" t="s">
        <v>150</v>
      </c>
      <c r="K97" s="8">
        <v>5</v>
      </c>
      <c r="L97" s="8" t="s">
        <v>11</v>
      </c>
    </row>
    <row r="98" spans="2:14">
      <c r="B98" s="2" t="s">
        <v>142</v>
      </c>
      <c r="C98" s="4">
        <f>C74*4+C53*3+C52*2+C96+C97+C88</f>
        <v>21.776175161604833</v>
      </c>
      <c r="D98" s="2" t="s">
        <v>11</v>
      </c>
      <c r="J98" s="2" t="s">
        <v>142</v>
      </c>
      <c r="K98" s="4">
        <f>K74*4+K53*3+K52*2+K96+K97+K88</f>
        <v>23.512057625700074</v>
      </c>
      <c r="L98" s="2" t="s">
        <v>11</v>
      </c>
    </row>
    <row r="99" spans="2:14">
      <c r="B99" s="8" t="s">
        <v>131</v>
      </c>
      <c r="C99" s="8">
        <v>5000</v>
      </c>
      <c r="D99" s="8"/>
      <c r="E99" s="8"/>
      <c r="F99" s="8"/>
      <c r="J99" s="8" t="s">
        <v>131</v>
      </c>
      <c r="K99" s="8">
        <v>5000</v>
      </c>
      <c r="L99" s="8"/>
      <c r="M99" s="8"/>
      <c r="N99" s="8"/>
    </row>
    <row r="100" spans="2:14">
      <c r="B100" s="8" t="s">
        <v>129</v>
      </c>
      <c r="C100" s="10">
        <f>C99*C98</f>
        <v>108880.87580802417</v>
      </c>
      <c r="D100" s="8" t="s">
        <v>11</v>
      </c>
      <c r="E100" s="11">
        <f>C100/3600</f>
        <v>30.244687724451158</v>
      </c>
      <c r="F100" s="8" t="s">
        <v>132</v>
      </c>
      <c r="J100" s="8" t="s">
        <v>129</v>
      </c>
      <c r="K100" s="10">
        <f>K99*K98</f>
        <v>117560.28812850037</v>
      </c>
      <c r="L100" s="8" t="s">
        <v>11</v>
      </c>
      <c r="M100" s="11">
        <f>K100/3600</f>
        <v>32.655635591250103</v>
      </c>
      <c r="N100" s="8" t="s">
        <v>132</v>
      </c>
    </row>
    <row r="101" spans="2:14">
      <c r="B101" s="8" t="s">
        <v>151</v>
      </c>
      <c r="C101" s="8">
        <v>50</v>
      </c>
      <c r="D101" s="8" t="s">
        <v>133</v>
      </c>
      <c r="E101" s="8"/>
      <c r="F101" s="8"/>
      <c r="J101" s="8" t="s">
        <v>151</v>
      </c>
      <c r="K101" s="8">
        <v>50</v>
      </c>
      <c r="L101" s="8" t="s">
        <v>133</v>
      </c>
      <c r="M101" s="8"/>
      <c r="N101" s="8"/>
    </row>
    <row r="102" spans="2:14">
      <c r="B102" s="8" t="s">
        <v>134</v>
      </c>
      <c r="C102" s="8">
        <v>500</v>
      </c>
      <c r="D102" s="8" t="s">
        <v>135</v>
      </c>
      <c r="E102" s="8"/>
      <c r="F102" s="8"/>
      <c r="J102" s="8" t="s">
        <v>134</v>
      </c>
      <c r="K102" s="8">
        <v>500</v>
      </c>
      <c r="L102" s="8" t="s">
        <v>135</v>
      </c>
      <c r="M102" s="8"/>
      <c r="N102" s="8"/>
    </row>
    <row r="103" spans="2:14">
      <c r="B103" s="8" t="s">
        <v>136</v>
      </c>
      <c r="C103" s="10">
        <f>C102+C101*E100</f>
        <v>2012.234386222558</v>
      </c>
      <c r="D103" s="8" t="s">
        <v>135</v>
      </c>
      <c r="E103" s="8"/>
      <c r="F103" s="8"/>
      <c r="J103" s="8" t="s">
        <v>136</v>
      </c>
      <c r="K103" s="10">
        <f>K102+K101*M100</f>
        <v>2132.7817795625051</v>
      </c>
      <c r="L103" s="8" t="s">
        <v>135</v>
      </c>
      <c r="M103" s="8"/>
      <c r="N103" s="8"/>
    </row>
    <row r="104" spans="2:14">
      <c r="B104" s="8"/>
      <c r="C104" s="8"/>
      <c r="D104" s="8"/>
      <c r="E104" s="8"/>
      <c r="F104" s="8"/>
    </row>
  </sheetData>
  <mergeCells count="4">
    <mergeCell ref="B68:H68"/>
    <mergeCell ref="J68:P68"/>
    <mergeCell ref="B47:H47"/>
    <mergeCell ref="J47:P47"/>
  </mergeCells>
  <pageMargins left="0.25" right="0.25" top="0.75" bottom="0.75" header="0.3" footer="0.3"/>
  <pageSetup paperSize="8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I36"/>
  <sheetViews>
    <sheetView workbookViewId="0">
      <selection activeCell="G41" sqref="G41"/>
    </sheetView>
  </sheetViews>
  <sheetFormatPr defaultRowHeight="14.5"/>
  <cols>
    <col min="1" max="1" width="3.08984375" customWidth="1"/>
  </cols>
  <sheetData>
    <row r="1" spans="1:9">
      <c r="A1" s="8"/>
      <c r="B1" s="8"/>
      <c r="C1" s="8"/>
      <c r="D1" s="8"/>
      <c r="E1" s="8"/>
      <c r="F1" s="8"/>
      <c r="G1" s="8"/>
      <c r="H1" s="8"/>
      <c r="I1" s="8"/>
    </row>
    <row r="2" spans="1:9">
      <c r="A2" s="8"/>
      <c r="B2" s="7" t="s">
        <v>79</v>
      </c>
      <c r="C2" s="8"/>
      <c r="D2" s="8"/>
      <c r="E2" s="8"/>
      <c r="F2" s="8"/>
      <c r="G2" s="8"/>
      <c r="H2" s="8"/>
      <c r="I2" s="8"/>
    </row>
    <row r="3" spans="1:9">
      <c r="A3" s="8"/>
      <c r="B3" s="8" t="s">
        <v>47</v>
      </c>
      <c r="C3" s="8">
        <v>550</v>
      </c>
      <c r="D3" s="8" t="s">
        <v>3</v>
      </c>
      <c r="E3" s="8"/>
      <c r="F3" s="8"/>
      <c r="G3" s="8"/>
      <c r="H3" s="8"/>
      <c r="I3" s="8"/>
    </row>
    <row r="4" spans="1:9">
      <c r="A4" s="8"/>
      <c r="B4" s="8" t="s">
        <v>80</v>
      </c>
      <c r="C4" s="8">
        <v>34</v>
      </c>
      <c r="D4" s="8" t="s">
        <v>0</v>
      </c>
      <c r="E4" s="8"/>
      <c r="F4" s="8"/>
      <c r="G4" s="8"/>
      <c r="H4" s="8"/>
      <c r="I4" s="8"/>
    </row>
    <row r="5" spans="1:9">
      <c r="A5" s="8"/>
      <c r="B5" s="8" t="s">
        <v>11</v>
      </c>
      <c r="C5" s="8">
        <v>2</v>
      </c>
      <c r="D5" s="8" t="s">
        <v>0</v>
      </c>
      <c r="E5" s="8"/>
      <c r="F5" s="8"/>
      <c r="G5" s="8"/>
      <c r="H5" s="8"/>
      <c r="I5" s="8"/>
    </row>
    <row r="6" spans="1:9">
      <c r="A6" s="8"/>
      <c r="B6" s="8" t="s">
        <v>48</v>
      </c>
      <c r="C6" s="8">
        <v>20</v>
      </c>
      <c r="D6" s="8" t="s">
        <v>0</v>
      </c>
      <c r="E6" s="8"/>
      <c r="F6" s="8"/>
      <c r="G6" s="8"/>
      <c r="H6" s="8"/>
      <c r="I6" s="8"/>
    </row>
    <row r="7" spans="1:9">
      <c r="A7" s="8"/>
      <c r="B7" s="8"/>
      <c r="C7" s="8"/>
      <c r="D7" s="8"/>
      <c r="E7" s="8"/>
      <c r="F7" s="8"/>
      <c r="G7" s="8"/>
      <c r="H7" s="8"/>
      <c r="I7" s="8"/>
    </row>
    <row r="8" spans="1:9">
      <c r="A8" s="8"/>
      <c r="B8" s="8" t="s">
        <v>49</v>
      </c>
      <c r="C8" s="9">
        <f>1.2*C3*C6*C5^2/C4</f>
        <v>1552.9411764705883</v>
      </c>
      <c r="D8" s="8" t="s">
        <v>18</v>
      </c>
      <c r="E8" s="8"/>
      <c r="F8" s="8"/>
      <c r="G8" s="8"/>
      <c r="H8" s="8"/>
      <c r="I8" s="8"/>
    </row>
    <row r="9" spans="1:9">
      <c r="A9" s="8"/>
      <c r="B9" s="8" t="s">
        <v>50</v>
      </c>
      <c r="C9" s="8">
        <v>1.25</v>
      </c>
      <c r="D9" s="8"/>
      <c r="E9" s="8"/>
      <c r="F9" s="8"/>
      <c r="G9" s="8"/>
      <c r="H9" s="8"/>
      <c r="I9" s="8"/>
    </row>
    <row r="10" spans="1:9">
      <c r="A10" s="8"/>
      <c r="B10" s="8" t="s">
        <v>51</v>
      </c>
      <c r="C10" s="9">
        <f>C8*C9</f>
        <v>1941.1764705882354</v>
      </c>
      <c r="D10" s="8" t="s">
        <v>18</v>
      </c>
      <c r="E10" s="8"/>
      <c r="F10" s="8"/>
      <c r="G10" s="8"/>
      <c r="H10" s="8"/>
      <c r="I10" s="8"/>
    </row>
    <row r="11" spans="1:9">
      <c r="A11" s="8"/>
      <c r="B11" s="8"/>
      <c r="C11" s="8"/>
      <c r="D11" s="8"/>
      <c r="E11" s="8"/>
      <c r="F11" s="8"/>
      <c r="G11" s="8"/>
      <c r="H11" s="8"/>
      <c r="I11" s="8"/>
    </row>
    <row r="12" spans="1:9">
      <c r="A12" s="8"/>
      <c r="B12" s="20" t="s">
        <v>52</v>
      </c>
      <c r="C12" s="20"/>
      <c r="D12" s="20"/>
      <c r="E12" s="20"/>
      <c r="F12" s="20"/>
      <c r="G12" s="20"/>
      <c r="H12" s="20"/>
      <c r="I12" s="8"/>
    </row>
    <row r="13" spans="1:9">
      <c r="A13" s="8"/>
      <c r="B13" s="8" t="s">
        <v>53</v>
      </c>
      <c r="C13" s="8">
        <v>10</v>
      </c>
      <c r="D13" s="8" t="s">
        <v>54</v>
      </c>
      <c r="E13" s="8"/>
      <c r="F13" s="8"/>
      <c r="G13" s="8"/>
      <c r="H13" s="8"/>
      <c r="I13" s="8"/>
    </row>
    <row r="14" spans="1:9">
      <c r="A14" s="8"/>
      <c r="B14" s="8" t="s">
        <v>55</v>
      </c>
      <c r="C14" s="8">
        <f>C10/(C13*10^5)</f>
        <v>1.9411764705882354E-3</v>
      </c>
      <c r="D14" s="8" t="s">
        <v>29</v>
      </c>
      <c r="E14" s="8"/>
      <c r="F14" s="8"/>
      <c r="G14" s="8"/>
      <c r="H14" s="8"/>
      <c r="I14" s="8"/>
    </row>
    <row r="15" spans="1:9">
      <c r="A15" s="8"/>
      <c r="B15" s="8" t="s">
        <v>56</v>
      </c>
      <c r="C15" s="8">
        <f>(4*C14/PI())^0.5</f>
        <v>4.9715014288063672E-2</v>
      </c>
      <c r="D15" s="8" t="s">
        <v>57</v>
      </c>
      <c r="E15" s="8"/>
      <c r="F15" s="8"/>
      <c r="G15" s="8"/>
      <c r="H15" s="8"/>
      <c r="I15" s="8"/>
    </row>
    <row r="16" spans="1:9">
      <c r="A16" s="8"/>
      <c r="B16" s="8"/>
      <c r="C16" s="9">
        <f>C15*1000</f>
        <v>49.715014288063671</v>
      </c>
      <c r="D16" s="8" t="s">
        <v>0</v>
      </c>
      <c r="E16" s="8"/>
      <c r="F16" s="8"/>
      <c r="G16" s="8"/>
      <c r="H16" s="8"/>
      <c r="I16" s="8"/>
    </row>
    <row r="17" spans="1:9">
      <c r="A17" s="8"/>
      <c r="B17" s="8"/>
      <c r="C17" s="8"/>
      <c r="D17" s="8"/>
      <c r="E17" s="8"/>
      <c r="F17" s="8"/>
      <c r="G17" s="8"/>
      <c r="H17" s="8"/>
      <c r="I17" s="8"/>
    </row>
    <row r="18" spans="1:9">
      <c r="A18" s="8"/>
      <c r="B18" s="20" t="s">
        <v>81</v>
      </c>
      <c r="C18" s="20"/>
      <c r="D18" s="20"/>
      <c r="E18" s="20"/>
      <c r="F18" s="20"/>
      <c r="G18" s="20"/>
      <c r="H18" s="20"/>
      <c r="I18" s="8"/>
    </row>
    <row r="19" spans="1:9">
      <c r="A19" s="8"/>
      <c r="B19" s="8" t="s">
        <v>59</v>
      </c>
      <c r="C19" s="8"/>
      <c r="D19" s="8"/>
      <c r="E19" s="8"/>
      <c r="F19" s="8"/>
      <c r="G19" s="8"/>
      <c r="H19" s="8"/>
      <c r="I19" s="8"/>
    </row>
    <row r="20" spans="1:9">
      <c r="A20" s="8"/>
      <c r="B20" s="8" t="s">
        <v>60</v>
      </c>
      <c r="C20" s="9">
        <f>(PI() * 0.05^2/4* C13*10^5)</f>
        <v>1963.4954084936207</v>
      </c>
      <c r="D20" s="8" t="s">
        <v>61</v>
      </c>
      <c r="E20" s="8"/>
      <c r="F20" s="8"/>
      <c r="G20" s="8"/>
      <c r="H20" s="8"/>
      <c r="I20" s="8"/>
    </row>
    <row r="21" spans="1:9">
      <c r="A21" s="8"/>
      <c r="B21" s="8"/>
      <c r="C21" s="8"/>
      <c r="D21" s="8"/>
      <c r="E21" s="8"/>
      <c r="F21" s="8"/>
      <c r="G21" s="8"/>
      <c r="H21" s="8"/>
      <c r="I21" s="8"/>
    </row>
    <row r="22" spans="1:9">
      <c r="A22" s="8"/>
      <c r="B22" s="20" t="s">
        <v>62</v>
      </c>
      <c r="C22" s="20"/>
      <c r="D22" s="20"/>
      <c r="E22" s="20"/>
      <c r="F22" s="20"/>
      <c r="G22" s="20"/>
      <c r="H22" s="20"/>
      <c r="I22" s="8"/>
    </row>
    <row r="23" spans="1:9">
      <c r="A23" s="8"/>
      <c r="B23" s="8" t="s">
        <v>63</v>
      </c>
      <c r="C23" s="8">
        <f>0.766+ 0.331+0.258</f>
        <v>1.355</v>
      </c>
      <c r="D23" s="8" t="s">
        <v>64</v>
      </c>
      <c r="E23" s="8" t="s">
        <v>82</v>
      </c>
      <c r="F23" s="8"/>
      <c r="G23" s="8"/>
      <c r="H23" s="8"/>
      <c r="I23" s="8"/>
    </row>
    <row r="24" spans="1:9">
      <c r="A24" s="8"/>
      <c r="B24" s="8" t="s">
        <v>83</v>
      </c>
      <c r="C24" s="11">
        <f>C23*9.81</f>
        <v>13.29255</v>
      </c>
      <c r="D24" s="8" t="s">
        <v>18</v>
      </c>
      <c r="E24" s="8"/>
      <c r="F24" s="8"/>
      <c r="G24" s="8"/>
      <c r="H24" s="8"/>
      <c r="I24" s="8"/>
    </row>
    <row r="25" spans="1:9">
      <c r="A25" s="8"/>
      <c r="B25" s="8" t="s">
        <v>66</v>
      </c>
      <c r="C25" s="8">
        <v>80</v>
      </c>
      <c r="D25" s="8" t="s">
        <v>0</v>
      </c>
      <c r="E25" s="8" t="s">
        <v>67</v>
      </c>
      <c r="F25" s="8"/>
      <c r="G25" s="8"/>
      <c r="H25" s="8"/>
      <c r="I25" s="8"/>
    </row>
    <row r="26" spans="1:9">
      <c r="A26" s="8"/>
      <c r="B26" s="8" t="s">
        <v>68</v>
      </c>
      <c r="C26" s="8">
        <v>2</v>
      </c>
      <c r="D26" s="8" t="s">
        <v>69</v>
      </c>
      <c r="E26" s="8" t="s">
        <v>70</v>
      </c>
      <c r="F26" s="8"/>
      <c r="G26" s="8"/>
      <c r="H26" s="8"/>
      <c r="I26" s="8"/>
    </row>
    <row r="27" spans="1:9">
      <c r="A27" s="8"/>
      <c r="B27" s="8"/>
      <c r="C27" s="8"/>
      <c r="D27" s="8"/>
      <c r="E27" s="8"/>
      <c r="F27" s="8"/>
      <c r="G27" s="8"/>
      <c r="H27" s="8"/>
      <c r="I27" s="8"/>
    </row>
    <row r="28" spans="1:9">
      <c r="A28" s="8"/>
      <c r="B28" s="8" t="s">
        <v>71</v>
      </c>
      <c r="C28" s="8">
        <f>2*(C25/1000)/C26</f>
        <v>0.08</v>
      </c>
      <c r="D28" s="8" t="s">
        <v>69</v>
      </c>
      <c r="E28" s="8" t="s">
        <v>84</v>
      </c>
      <c r="F28" s="8"/>
      <c r="G28" s="8"/>
      <c r="H28" s="8"/>
      <c r="I28" s="8"/>
    </row>
    <row r="29" spans="1:9">
      <c r="A29" s="8"/>
      <c r="B29" s="8" t="s">
        <v>72</v>
      </c>
      <c r="C29" s="8">
        <f>C26/C28</f>
        <v>25</v>
      </c>
      <c r="D29" s="8" t="s">
        <v>73</v>
      </c>
      <c r="E29" s="8" t="s">
        <v>74</v>
      </c>
      <c r="F29" s="8"/>
      <c r="G29" s="8"/>
      <c r="H29" s="8"/>
      <c r="I29" s="8"/>
    </row>
    <row r="30" spans="1:9">
      <c r="A30" s="8"/>
      <c r="B30" s="8" t="s">
        <v>75</v>
      </c>
      <c r="C30" s="10">
        <f>C23*C29</f>
        <v>33.875</v>
      </c>
      <c r="D30" s="8" t="s">
        <v>18</v>
      </c>
      <c r="E30" s="8" t="s">
        <v>76</v>
      </c>
      <c r="F30" s="8"/>
      <c r="G30" s="8"/>
      <c r="H30" s="8"/>
      <c r="I30" s="8"/>
    </row>
    <row r="31" spans="1:9">
      <c r="A31" s="8"/>
      <c r="B31" s="8" t="s">
        <v>85</v>
      </c>
      <c r="C31" s="11">
        <f>C30-C23*9.81</f>
        <v>20.582450000000001</v>
      </c>
      <c r="D31" s="8" t="s">
        <v>18</v>
      </c>
      <c r="E31" s="8" t="s">
        <v>86</v>
      </c>
      <c r="F31" s="8"/>
      <c r="G31" s="8"/>
      <c r="H31" s="8"/>
      <c r="I31" s="8"/>
    </row>
    <row r="32" spans="1:9">
      <c r="A32" s="8"/>
      <c r="B32" s="8"/>
      <c r="C32" s="8"/>
      <c r="D32" s="8"/>
      <c r="E32" s="8"/>
      <c r="F32" s="8"/>
      <c r="G32" s="8"/>
      <c r="H32" s="8"/>
      <c r="I32" s="8"/>
    </row>
    <row r="33" spans="1:9">
      <c r="A33" s="8"/>
      <c r="B33" s="20" t="s">
        <v>77</v>
      </c>
      <c r="C33" s="20"/>
      <c r="D33" s="20"/>
      <c r="E33" s="20"/>
      <c r="F33" s="20"/>
      <c r="G33" s="20"/>
      <c r="H33" s="20"/>
      <c r="I33" s="8"/>
    </row>
    <row r="34" spans="1:9">
      <c r="A34" s="8"/>
      <c r="B34" s="8" t="s">
        <v>87</v>
      </c>
      <c r="C34" s="9">
        <f>C10+C31</f>
        <v>1961.7589205882355</v>
      </c>
      <c r="D34" s="8" t="s">
        <v>18</v>
      </c>
      <c r="E34" s="8"/>
      <c r="F34" s="8"/>
      <c r="G34" s="8"/>
      <c r="H34" s="8"/>
      <c r="I34" s="8"/>
    </row>
    <row r="35" spans="1:9">
      <c r="A35" s="8"/>
      <c r="B35" s="8"/>
      <c r="C35" s="8"/>
      <c r="D35" s="8"/>
      <c r="E35" s="8"/>
      <c r="F35" s="8"/>
      <c r="G35" s="8"/>
      <c r="H35" s="8"/>
      <c r="I35" s="8"/>
    </row>
    <row r="36" spans="1:9">
      <c r="A36" s="8"/>
      <c r="B36" s="20" t="s">
        <v>78</v>
      </c>
      <c r="C36" s="20"/>
      <c r="D36" s="20"/>
      <c r="E36" s="20"/>
      <c r="F36" s="20"/>
      <c r="G36" s="20"/>
      <c r="H36" s="20"/>
      <c r="I36" s="8"/>
    </row>
  </sheetData>
  <mergeCells count="5">
    <mergeCell ref="B12:H12"/>
    <mergeCell ref="B18:H18"/>
    <mergeCell ref="B22:H22"/>
    <mergeCell ref="B33:H33"/>
    <mergeCell ref="B36:H3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Piegatura</vt:lpstr>
      <vt:lpstr>Foratura</vt:lpstr>
      <vt:lpstr>Piagatura V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i911900</dc:creator>
  <cp:lastModifiedBy>R5800u</cp:lastModifiedBy>
  <cp:lastPrinted>2022-02-08T12:07:02Z</cp:lastPrinted>
  <dcterms:created xsi:type="dcterms:W3CDTF">2022-02-08T11:27:59Z</dcterms:created>
  <dcterms:modified xsi:type="dcterms:W3CDTF">2025-04-27T18:58:54Z</dcterms:modified>
</cp:coreProperties>
</file>