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2" windowWidth="17172" windowHeight="10032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72" i="1"/>
  <c r="C74" s="1"/>
  <c r="C80"/>
  <c r="C81" s="1"/>
  <c r="C87"/>
  <c r="C86"/>
  <c r="C85"/>
  <c r="C89" s="1"/>
  <c r="C90" s="1"/>
  <c r="C84"/>
  <c r="C76"/>
  <c r="C77" s="1"/>
  <c r="C78" s="1"/>
  <c r="C68"/>
  <c r="C67"/>
  <c r="C66"/>
  <c r="C65"/>
  <c r="C62"/>
  <c r="C61"/>
  <c r="C50"/>
  <c r="C51" s="1"/>
  <c r="C46"/>
  <c r="C41"/>
  <c r="C43" s="1"/>
  <c r="C44" s="1"/>
  <c r="E27"/>
  <c r="E26"/>
  <c r="E25"/>
  <c r="E24"/>
  <c r="E23"/>
  <c r="E22"/>
  <c r="E18"/>
  <c r="E17"/>
  <c r="E16"/>
  <c r="D25"/>
  <c r="H25" s="1"/>
  <c r="D18"/>
  <c r="H18" s="1"/>
  <c r="D17"/>
  <c r="H17" s="1"/>
  <c r="C27"/>
  <c r="C26"/>
  <c r="C24" s="1"/>
  <c r="C23"/>
  <c r="C22"/>
  <c r="C16"/>
  <c r="C25"/>
  <c r="C13"/>
  <c r="D27" s="1"/>
  <c r="H27" s="1"/>
  <c r="C10"/>
  <c r="C11" s="1"/>
  <c r="D26" s="1"/>
  <c r="H26" s="1"/>
  <c r="C9"/>
  <c r="D16" s="1"/>
  <c r="H16" s="1"/>
  <c r="C93" l="1"/>
  <c r="C94" s="1"/>
  <c r="H19"/>
  <c r="D30" s="1"/>
  <c r="D32" s="1"/>
  <c r="G32" s="1"/>
  <c r="D24"/>
  <c r="H24" s="1"/>
  <c r="D23"/>
  <c r="H23" s="1"/>
  <c r="D22"/>
  <c r="H22" s="1"/>
  <c r="H28" s="1"/>
</calcChain>
</file>

<file path=xl/sharedStrings.xml><?xml version="1.0" encoding="utf-8"?>
<sst xmlns="http://schemas.openxmlformats.org/spreadsheetml/2006/main" count="137" uniqueCount="100">
  <si>
    <t>w/m2 k</t>
  </si>
  <si>
    <t>U finestre</t>
  </si>
  <si>
    <t>U vetrata</t>
  </si>
  <si>
    <t>U pavimento</t>
  </si>
  <si>
    <t>U ingresso</t>
  </si>
  <si>
    <t>T min</t>
  </si>
  <si>
    <t>T media</t>
  </si>
  <si>
    <t>T interna</t>
  </si>
  <si>
    <t>°C</t>
  </si>
  <si>
    <t>ore</t>
  </si>
  <si>
    <t>bagno</t>
  </si>
  <si>
    <t>negozio</t>
  </si>
  <si>
    <t>Area</t>
  </si>
  <si>
    <t>U</t>
  </si>
  <si>
    <t>DT</t>
  </si>
  <si>
    <t>Espos.</t>
  </si>
  <si>
    <t>PT.</t>
  </si>
  <si>
    <t>Q</t>
  </si>
  <si>
    <t>par. N</t>
  </si>
  <si>
    <t>par. E</t>
  </si>
  <si>
    <t>par. S</t>
  </si>
  <si>
    <t>pavimento</t>
  </si>
  <si>
    <t>fin. N</t>
  </si>
  <si>
    <t>vetrata S</t>
  </si>
  <si>
    <t>ingresso S</t>
  </si>
  <si>
    <t>tot. w</t>
  </si>
  <si>
    <t>Potenza totale dispersa</t>
  </si>
  <si>
    <t>w</t>
  </si>
  <si>
    <t>A 5,5°C la potenza vale</t>
  </si>
  <si>
    <t>€/anno</t>
  </si>
  <si>
    <t>Costo CH4</t>
  </si>
  <si>
    <t>Dispersioni termiche negozio</t>
  </si>
  <si>
    <t>U pareti</t>
  </si>
  <si>
    <t>U cappotto</t>
  </si>
  <si>
    <t>Solare termico</t>
  </si>
  <si>
    <t>Doccia</t>
  </si>
  <si>
    <t>Bagno</t>
  </si>
  <si>
    <t>all'ora</t>
  </si>
  <si>
    <t>Persone che mediamente vanno al bagno</t>
  </si>
  <si>
    <t>Tot bagno</t>
  </si>
  <si>
    <t>Totale ACS</t>
  </si>
  <si>
    <t>Orario apertura  08-12:30 - 14:00-19:30</t>
  </si>
  <si>
    <t>%75 di ACS</t>
  </si>
  <si>
    <t>litri</t>
  </si>
  <si>
    <t>Area pannelli</t>
  </si>
  <si>
    <t>m2</t>
  </si>
  <si>
    <t>Fabbisogno ACS</t>
  </si>
  <si>
    <t>V boiler max.</t>
  </si>
  <si>
    <t>al NORD con angolo x tutto anno=</t>
  </si>
  <si>
    <t>50°</t>
  </si>
  <si>
    <t>Vaso espansione</t>
  </si>
  <si>
    <t>d tubi</t>
  </si>
  <si>
    <t>mm</t>
  </si>
  <si>
    <t>lunghezza</t>
  </si>
  <si>
    <t>m</t>
  </si>
  <si>
    <t>Servono quindo due pannelli con area utile</t>
  </si>
  <si>
    <t>Area tot. eff.</t>
  </si>
  <si>
    <t>con 60 x boiler</t>
  </si>
  <si>
    <t>Si prende un boiler da 300 litri con volume utile</t>
  </si>
  <si>
    <t>volume tubi</t>
  </si>
  <si>
    <t>litri serpentina</t>
  </si>
  <si>
    <t>p iniziale</t>
  </si>
  <si>
    <t>p finale</t>
  </si>
  <si>
    <t>bar</t>
  </si>
  <si>
    <t>Vp</t>
  </si>
  <si>
    <t>litri pannelli</t>
  </si>
  <si>
    <t>Vc</t>
  </si>
  <si>
    <t>Vu</t>
  </si>
  <si>
    <t>1,7 in ogni pannello</t>
  </si>
  <si>
    <t>serpentina inferiore</t>
  </si>
  <si>
    <t>area x lunghezza</t>
  </si>
  <si>
    <t>Vn</t>
  </si>
  <si>
    <t>giorni risc.</t>
  </si>
  <si>
    <t>TRASMITTANZE</t>
  </si>
  <si>
    <t>°C  Brescia</t>
  </si>
  <si>
    <t>ore / giorno</t>
  </si>
  <si>
    <t>k tot</t>
  </si>
  <si>
    <t xml:space="preserve">velocità </t>
  </si>
  <si>
    <t>m/s</t>
  </si>
  <si>
    <t>kg/h</t>
  </si>
  <si>
    <t>m3/s</t>
  </si>
  <si>
    <t>mBAR</t>
  </si>
  <si>
    <t>Pa</t>
  </si>
  <si>
    <t>Y loc. tot</t>
  </si>
  <si>
    <r>
      <rPr>
        <sz val="11"/>
        <color theme="1"/>
        <rFont val="Calibri"/>
        <family val="2"/>
      </rPr>
      <t>Δ</t>
    </r>
    <r>
      <rPr>
        <sz val="11"/>
        <color theme="1"/>
        <rFont val="Calibri"/>
        <family val="2"/>
        <scheme val="minor"/>
      </rPr>
      <t>p collettore</t>
    </r>
  </si>
  <si>
    <t>Perdite di carico circuito solare</t>
  </si>
  <si>
    <t>sezione</t>
  </si>
  <si>
    <t>portata vol.</t>
  </si>
  <si>
    <t>Re</t>
  </si>
  <si>
    <t>visc. A 60°C</t>
  </si>
  <si>
    <t>Jain</t>
  </si>
  <si>
    <t>scabrezza</t>
  </si>
  <si>
    <t>s</t>
  </si>
  <si>
    <t>f attrito</t>
  </si>
  <si>
    <t>Y distr.</t>
  </si>
  <si>
    <t>Y tot. collettore</t>
  </si>
  <si>
    <t>Y totali</t>
  </si>
  <si>
    <t>Potenza pompa</t>
  </si>
  <si>
    <t>watt</t>
  </si>
  <si>
    <t>NB. Trascurata serpentina collettore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</si>
</sst>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0"/>
    <numFmt numFmtId="166" formatCode="0.0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0" xfId="0" applyFont="1" applyFill="1"/>
    <xf numFmtId="0" fontId="0" fillId="2" borderId="0" xfId="0" applyFill="1"/>
    <xf numFmtId="0" fontId="1" fillId="2" borderId="1" xfId="0" applyFont="1" applyFill="1" applyBorder="1"/>
    <xf numFmtId="0" fontId="0" fillId="2" borderId="1" xfId="0" applyFill="1" applyBorder="1"/>
    <xf numFmtId="164" fontId="0" fillId="2" borderId="1" xfId="0" applyNumberFormat="1" applyFill="1" applyBorder="1"/>
    <xf numFmtId="164" fontId="0" fillId="2" borderId="0" xfId="0" applyNumberFormat="1" applyFill="1"/>
    <xf numFmtId="2" fontId="0" fillId="2" borderId="0" xfId="0" applyNumberFormat="1" applyFill="1"/>
    <xf numFmtId="0" fontId="0" fillId="2" borderId="0" xfId="0" applyFont="1" applyFill="1"/>
    <xf numFmtId="0" fontId="1" fillId="2" borderId="0" xfId="0" applyFont="1" applyFill="1"/>
    <xf numFmtId="1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22861</xdr:colOff>
      <xdr:row>72</xdr:row>
      <xdr:rowOff>39310</xdr:rowOff>
    </xdr:from>
    <xdr:to>
      <xdr:col>6</xdr:col>
      <xdr:colOff>373381</xdr:colOff>
      <xdr:row>75</xdr:row>
      <xdr:rowOff>99738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06041" y="13267630"/>
          <a:ext cx="1402080" cy="609068"/>
        </a:xfrm>
        <a:prstGeom prst="rect">
          <a:avLst/>
        </a:prstGeom>
        <a:ln w="38100" cap="sq">
          <a:solidFill>
            <a:schemeClr val="bg1">
              <a:lumMod val="85000"/>
            </a:schemeClr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3</xdr:col>
      <xdr:colOff>480060</xdr:colOff>
      <xdr:row>76</xdr:row>
      <xdr:rowOff>114300</xdr:rowOff>
    </xdr:from>
    <xdr:to>
      <xdr:col>13</xdr:col>
      <xdr:colOff>355753</xdr:colOff>
      <xdr:row>95</xdr:row>
      <xdr:rowOff>160020</xdr:rowOff>
    </xdr:to>
    <xdr:pic>
      <xdr:nvPicPr>
        <xdr:cNvPr id="3" name="Picture 4" descr="Diagramma di Moody - Wikipedi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453640" y="14074140"/>
          <a:ext cx="5659273" cy="35204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94"/>
  <sheetViews>
    <sheetView tabSelected="1" topLeftCell="A60" workbookViewId="0">
      <selection activeCell="A71" sqref="A71:N97"/>
    </sheetView>
  </sheetViews>
  <sheetFormatPr defaultRowHeight="14.4"/>
  <cols>
    <col min="1" max="1" width="1.77734375" style="2" customWidth="1"/>
    <col min="2" max="2" width="15" style="2" customWidth="1"/>
    <col min="3" max="3" width="12" style="2" bestFit="1" customWidth="1"/>
    <col min="4" max="4" width="8.88671875" style="2"/>
    <col min="5" max="5" width="5.88671875" style="2" customWidth="1"/>
    <col min="6" max="6" width="9.44140625" style="2" customWidth="1"/>
    <col min="7" max="7" width="7.88671875" style="2" customWidth="1"/>
    <col min="8" max="8" width="7.77734375" style="2" customWidth="1"/>
    <col min="9" max="16384" width="8.88671875" style="2"/>
  </cols>
  <sheetData>
    <row r="1" spans="2:8" ht="15.6">
      <c r="B1" s="1" t="s">
        <v>31</v>
      </c>
    </row>
    <row r="2" spans="2:8">
      <c r="B2" s="2" t="s">
        <v>5</v>
      </c>
      <c r="C2" s="2">
        <v>-7</v>
      </c>
      <c r="D2" s="2" t="s">
        <v>74</v>
      </c>
    </row>
    <row r="3" spans="2:8">
      <c r="B3" s="2" t="s">
        <v>6</v>
      </c>
      <c r="C3" s="2">
        <v>5.5</v>
      </c>
      <c r="D3" s="2" t="s">
        <v>8</v>
      </c>
    </row>
    <row r="4" spans="2:8">
      <c r="B4" s="2" t="s">
        <v>7</v>
      </c>
      <c r="C4" s="2">
        <v>20</v>
      </c>
      <c r="D4" s="2" t="s">
        <v>8</v>
      </c>
    </row>
    <row r="5" spans="2:8">
      <c r="B5" s="2" t="s">
        <v>72</v>
      </c>
      <c r="C5" s="2">
        <v>183</v>
      </c>
      <c r="D5" s="2">
        <v>10</v>
      </c>
      <c r="E5" s="2" t="s">
        <v>75</v>
      </c>
    </row>
    <row r="7" spans="2:8">
      <c r="B7" s="9" t="s">
        <v>73</v>
      </c>
    </row>
    <row r="8" spans="2:8">
      <c r="B8" s="2" t="s">
        <v>32</v>
      </c>
      <c r="C8" s="7">
        <v>1.2</v>
      </c>
      <c r="D8" s="2" t="s">
        <v>0</v>
      </c>
    </row>
    <row r="9" spans="2:8">
      <c r="B9" s="2" t="s">
        <v>33</v>
      </c>
      <c r="C9" s="7">
        <f>(1/C8+0.1/0.034)^-1</f>
        <v>0.26493506493506497</v>
      </c>
      <c r="D9" s="2" t="s">
        <v>0</v>
      </c>
    </row>
    <row r="10" spans="2:8">
      <c r="B10" s="2" t="s">
        <v>1</v>
      </c>
      <c r="C10" s="7">
        <f>(1/8+1/23+1/1.4)^-1</f>
        <v>1.1328056288478452</v>
      </c>
      <c r="D10" s="2" t="s">
        <v>0</v>
      </c>
    </row>
    <row r="11" spans="2:8">
      <c r="B11" s="2" t="s">
        <v>2</v>
      </c>
      <c r="C11" s="7">
        <f>C10</f>
        <v>1.1328056288478452</v>
      </c>
      <c r="D11" s="2" t="s">
        <v>0</v>
      </c>
    </row>
    <row r="12" spans="2:8">
      <c r="B12" s="2" t="s">
        <v>3</v>
      </c>
      <c r="C12" s="7">
        <v>0.5</v>
      </c>
      <c r="D12" s="2" t="s">
        <v>0</v>
      </c>
    </row>
    <row r="13" spans="2:8">
      <c r="B13" s="2" t="s">
        <v>4</v>
      </c>
      <c r="C13" s="7">
        <f>(1/8+1/23+1/1.4)^-1</f>
        <v>1.1328056288478452</v>
      </c>
      <c r="D13" s="2" t="s">
        <v>0</v>
      </c>
    </row>
    <row r="15" spans="2:8">
      <c r="B15" s="3" t="s">
        <v>10</v>
      </c>
      <c r="C15" s="4" t="s">
        <v>12</v>
      </c>
      <c r="D15" s="4" t="s">
        <v>13</v>
      </c>
      <c r="E15" s="4" t="s">
        <v>14</v>
      </c>
      <c r="F15" s="4" t="s">
        <v>15</v>
      </c>
      <c r="G15" s="4" t="s">
        <v>16</v>
      </c>
      <c r="H15" s="4" t="s">
        <v>17</v>
      </c>
    </row>
    <row r="16" spans="2:8">
      <c r="B16" s="4" t="s">
        <v>18</v>
      </c>
      <c r="C16" s="5">
        <f>2*4</f>
        <v>8</v>
      </c>
      <c r="D16" s="5">
        <f>C9</f>
        <v>0.26493506493506497</v>
      </c>
      <c r="E16" s="5">
        <f>$C$4-$C$2</f>
        <v>27</v>
      </c>
      <c r="F16" s="5">
        <v>1.2</v>
      </c>
      <c r="G16" s="5">
        <v>1.1499999999999999</v>
      </c>
      <c r="H16" s="5">
        <f>D16*C16*E16*F16*G16</f>
        <v>78.971844155844167</v>
      </c>
    </row>
    <row r="17" spans="2:8">
      <c r="B17" s="4" t="s">
        <v>21</v>
      </c>
      <c r="C17" s="5">
        <v>3</v>
      </c>
      <c r="D17" s="5">
        <f>C12</f>
        <v>0.5</v>
      </c>
      <c r="E17" s="5">
        <f t="shared" ref="E17:E18" si="0">$C$4-$C$2</f>
        <v>27</v>
      </c>
      <c r="F17" s="5">
        <v>1</v>
      </c>
      <c r="G17" s="5">
        <v>1.1499999999999999</v>
      </c>
      <c r="H17" s="5">
        <f t="shared" ref="H17:H18" si="1">D17*C17*E17*F17*G17</f>
        <v>46.574999999999996</v>
      </c>
    </row>
    <row r="18" spans="2:8">
      <c r="B18" s="4" t="s">
        <v>22</v>
      </c>
      <c r="C18" s="5">
        <v>1.5</v>
      </c>
      <c r="D18" s="5">
        <f>C10</f>
        <v>1.1328056288478452</v>
      </c>
      <c r="E18" s="5">
        <f t="shared" si="0"/>
        <v>27</v>
      </c>
      <c r="F18" s="5">
        <v>1.2</v>
      </c>
      <c r="G18" s="5">
        <v>1.1499999999999999</v>
      </c>
      <c r="H18" s="5">
        <f t="shared" si="1"/>
        <v>63.312506596306065</v>
      </c>
    </row>
    <row r="19" spans="2:8">
      <c r="C19" s="6"/>
      <c r="D19" s="6"/>
      <c r="E19" s="6"/>
      <c r="F19" s="6"/>
      <c r="G19" s="6" t="s">
        <v>25</v>
      </c>
      <c r="H19" s="5">
        <f>SUM(H16:H18)</f>
        <v>188.85935075215022</v>
      </c>
    </row>
    <row r="20" spans="2:8">
      <c r="C20" s="6"/>
      <c r="D20" s="6"/>
      <c r="E20" s="6"/>
      <c r="F20" s="6"/>
      <c r="G20" s="6"/>
      <c r="H20" s="6"/>
    </row>
    <row r="21" spans="2:8">
      <c r="B21" s="3" t="s">
        <v>11</v>
      </c>
      <c r="C21" s="5" t="s">
        <v>12</v>
      </c>
      <c r="D21" s="5" t="s">
        <v>13</v>
      </c>
      <c r="E21" s="5" t="s">
        <v>14</v>
      </c>
      <c r="F21" s="5" t="s">
        <v>15</v>
      </c>
      <c r="G21" s="5" t="s">
        <v>16</v>
      </c>
      <c r="H21" s="5" t="s">
        <v>17</v>
      </c>
    </row>
    <row r="22" spans="2:8">
      <c r="B22" s="4" t="s">
        <v>18</v>
      </c>
      <c r="C22" s="5">
        <f>5*4-C18</f>
        <v>18.5</v>
      </c>
      <c r="D22" s="5">
        <f>C9</f>
        <v>0.26493506493506497</v>
      </c>
      <c r="E22" s="5">
        <f t="shared" ref="E22:E27" si="2">$C$4-$C$2</f>
        <v>27</v>
      </c>
      <c r="F22" s="5">
        <v>1.2</v>
      </c>
      <c r="G22" s="5">
        <v>1.1499999999999999</v>
      </c>
      <c r="H22" s="5">
        <f t="shared" ref="H22:H27" si="3">D22*C22*E22*F22*G22</f>
        <v>182.6223896103896</v>
      </c>
    </row>
    <row r="23" spans="2:8">
      <c r="B23" s="4" t="s">
        <v>19</v>
      </c>
      <c r="C23" s="5">
        <f>8*4</f>
        <v>32</v>
      </c>
      <c r="D23" s="5">
        <f>C9</f>
        <v>0.26493506493506497</v>
      </c>
      <c r="E23" s="5">
        <f t="shared" si="2"/>
        <v>27</v>
      </c>
      <c r="F23" s="5">
        <v>1.1000000000000001</v>
      </c>
      <c r="G23" s="5">
        <v>1.1499999999999999</v>
      </c>
      <c r="H23" s="5">
        <f t="shared" si="3"/>
        <v>289.56342857142863</v>
      </c>
    </row>
    <row r="24" spans="2:8">
      <c r="B24" s="4" t="s">
        <v>20</v>
      </c>
      <c r="C24" s="5">
        <f>5*4-C26-C27</f>
        <v>11.55</v>
      </c>
      <c r="D24" s="5">
        <f>C9</f>
        <v>0.26493506493506497</v>
      </c>
      <c r="E24" s="5">
        <f t="shared" si="2"/>
        <v>27</v>
      </c>
      <c r="F24" s="5">
        <v>1</v>
      </c>
      <c r="G24" s="5">
        <v>1.1499999999999999</v>
      </c>
      <c r="H24" s="5">
        <f t="shared" si="3"/>
        <v>95.013000000000019</v>
      </c>
    </row>
    <row r="25" spans="2:8">
      <c r="B25" s="4" t="s">
        <v>21</v>
      </c>
      <c r="C25" s="5">
        <f>40-C17</f>
        <v>37</v>
      </c>
      <c r="D25" s="5">
        <f>C12</f>
        <v>0.5</v>
      </c>
      <c r="E25" s="5">
        <f t="shared" si="2"/>
        <v>27</v>
      </c>
      <c r="F25" s="5">
        <v>1</v>
      </c>
      <c r="G25" s="5">
        <v>1.1499999999999999</v>
      </c>
      <c r="H25" s="5">
        <f t="shared" si="3"/>
        <v>574.42499999999995</v>
      </c>
    </row>
    <row r="26" spans="2:8">
      <c r="B26" s="4" t="s">
        <v>23</v>
      </c>
      <c r="C26" s="5">
        <f>2.5*2.5</f>
        <v>6.25</v>
      </c>
      <c r="D26" s="5">
        <f>C11</f>
        <v>1.1328056288478452</v>
      </c>
      <c r="E26" s="5">
        <f t="shared" si="2"/>
        <v>27</v>
      </c>
      <c r="F26" s="5">
        <v>1</v>
      </c>
      <c r="G26" s="5">
        <v>1.1499999999999999</v>
      </c>
      <c r="H26" s="5">
        <f t="shared" si="3"/>
        <v>219.83509234828492</v>
      </c>
    </row>
    <row r="27" spans="2:8">
      <c r="B27" s="4" t="s">
        <v>24</v>
      </c>
      <c r="C27" s="5">
        <f>1*2.2</f>
        <v>2.2000000000000002</v>
      </c>
      <c r="D27" s="5">
        <f>C13</f>
        <v>1.1328056288478452</v>
      </c>
      <c r="E27" s="5">
        <f t="shared" si="2"/>
        <v>27</v>
      </c>
      <c r="F27" s="5">
        <v>1</v>
      </c>
      <c r="G27" s="5">
        <v>1.1499999999999999</v>
      </c>
      <c r="H27" s="5">
        <f t="shared" si="3"/>
        <v>77.381952506596306</v>
      </c>
    </row>
    <row r="28" spans="2:8">
      <c r="C28" s="6"/>
      <c r="D28" s="6"/>
      <c r="E28" s="6"/>
      <c r="F28" s="6"/>
      <c r="G28" s="6" t="s">
        <v>25</v>
      </c>
      <c r="H28" s="5">
        <f>SUM(H22:H27)</f>
        <v>1438.8408630366994</v>
      </c>
    </row>
    <row r="30" spans="2:8">
      <c r="B30" s="2" t="s">
        <v>26</v>
      </c>
      <c r="D30" s="10">
        <f>H19+H28</f>
        <v>1627.7002137888496</v>
      </c>
      <c r="E30" s="2" t="s">
        <v>27</v>
      </c>
    </row>
    <row r="31" spans="2:8">
      <c r="D31" s="10"/>
    </row>
    <row r="32" spans="2:8">
      <c r="B32" s="2" t="s">
        <v>28</v>
      </c>
      <c r="D32" s="10">
        <f>D30/27*(20-C3)</f>
        <v>874.13529999771561</v>
      </c>
      <c r="E32" s="2" t="s">
        <v>27</v>
      </c>
      <c r="F32" s="2" t="s">
        <v>30</v>
      </c>
      <c r="G32" s="6">
        <f>D32/1000*C5*D5*0.1</f>
        <v>159.96675989958194</v>
      </c>
      <c r="H32" s="2" t="s">
        <v>29</v>
      </c>
    </row>
    <row r="35" spans="2:9" ht="15.6">
      <c r="B35" s="1" t="s">
        <v>34</v>
      </c>
    </row>
    <row r="36" spans="2:9">
      <c r="B36" s="8" t="s">
        <v>46</v>
      </c>
    </row>
    <row r="37" spans="2:9">
      <c r="B37" s="2" t="s">
        <v>35</v>
      </c>
      <c r="C37" s="2">
        <v>75</v>
      </c>
      <c r="D37" s="2" t="s">
        <v>43</v>
      </c>
    </row>
    <row r="38" spans="2:9">
      <c r="B38" s="2" t="s">
        <v>36</v>
      </c>
      <c r="C38" s="2">
        <v>10</v>
      </c>
      <c r="D38" s="2" t="s">
        <v>43</v>
      </c>
    </row>
    <row r="39" spans="2:9">
      <c r="B39" s="2" t="s">
        <v>38</v>
      </c>
      <c r="F39" s="2">
        <v>2</v>
      </c>
      <c r="G39" s="2" t="s">
        <v>37</v>
      </c>
    </row>
    <row r="40" spans="2:9">
      <c r="B40" s="2" t="s">
        <v>41</v>
      </c>
      <c r="F40" s="2">
        <v>9</v>
      </c>
      <c r="G40" s="2" t="s">
        <v>9</v>
      </c>
    </row>
    <row r="41" spans="2:9">
      <c r="B41" s="2" t="s">
        <v>39</v>
      </c>
      <c r="C41" s="2">
        <f>C38*F40*F39</f>
        <v>180</v>
      </c>
      <c r="D41" s="2" t="s">
        <v>43</v>
      </c>
    </row>
    <row r="43" spans="2:9">
      <c r="B43" s="2" t="s">
        <v>40</v>
      </c>
      <c r="C43" s="2">
        <f>C37+C41</f>
        <v>255</v>
      </c>
      <c r="D43" s="2" t="s">
        <v>43</v>
      </c>
    </row>
    <row r="44" spans="2:9">
      <c r="B44" s="2" t="s">
        <v>42</v>
      </c>
      <c r="C44" s="2">
        <f>C43*0.75</f>
        <v>191.25</v>
      </c>
      <c r="D44" s="2" t="s">
        <v>43</v>
      </c>
    </row>
    <row r="46" spans="2:9">
      <c r="B46" s="2" t="s">
        <v>44</v>
      </c>
      <c r="C46" s="2">
        <f>C44/50*1.2</f>
        <v>4.59</v>
      </c>
      <c r="D46" s="2" t="s">
        <v>45</v>
      </c>
      <c r="E46" s="2" t="s">
        <v>48</v>
      </c>
      <c r="I46" s="2" t="s">
        <v>49</v>
      </c>
    </row>
    <row r="49" spans="2:8">
      <c r="B49" s="2" t="s">
        <v>55</v>
      </c>
      <c r="F49" s="2">
        <v>2.31</v>
      </c>
      <c r="G49" s="2" t="s">
        <v>45</v>
      </c>
    </row>
    <row r="50" spans="2:8">
      <c r="B50" s="2" t="s">
        <v>56</v>
      </c>
      <c r="C50" s="2">
        <f>F49*2</f>
        <v>4.62</v>
      </c>
      <c r="D50" s="2" t="s">
        <v>45</v>
      </c>
    </row>
    <row r="51" spans="2:8">
      <c r="B51" s="2" t="s">
        <v>47</v>
      </c>
      <c r="C51" s="2">
        <f>C50*60</f>
        <v>277.2</v>
      </c>
      <c r="D51" s="2" t="s">
        <v>43</v>
      </c>
      <c r="E51" s="2" t="s">
        <v>57</v>
      </c>
    </row>
    <row r="53" spans="2:8">
      <c r="B53" s="2" t="s">
        <v>58</v>
      </c>
      <c r="G53" s="2">
        <v>281</v>
      </c>
      <c r="H53" s="2" t="s">
        <v>43</v>
      </c>
    </row>
    <row r="55" spans="2:8" ht="15.6">
      <c r="B55" s="1" t="s">
        <v>50</v>
      </c>
    </row>
    <row r="56" spans="2:8">
      <c r="B56" s="2" t="s">
        <v>51</v>
      </c>
      <c r="C56" s="7">
        <v>14</v>
      </c>
      <c r="D56" s="2" t="s">
        <v>52</v>
      </c>
    </row>
    <row r="57" spans="2:8">
      <c r="B57" s="2" t="s">
        <v>53</v>
      </c>
      <c r="C57" s="7">
        <v>15</v>
      </c>
      <c r="D57" s="2" t="s">
        <v>54</v>
      </c>
    </row>
    <row r="58" spans="2:8">
      <c r="B58" s="2" t="s">
        <v>61</v>
      </c>
      <c r="C58" s="7">
        <v>1.5</v>
      </c>
      <c r="D58" s="2" t="s">
        <v>63</v>
      </c>
    </row>
    <row r="59" spans="2:8">
      <c r="B59" s="2" t="s">
        <v>62</v>
      </c>
      <c r="C59" s="7">
        <v>5.5</v>
      </c>
      <c r="D59" s="2" t="s">
        <v>63</v>
      </c>
    </row>
    <row r="60" spans="2:8">
      <c r="C60" s="7"/>
    </row>
    <row r="61" spans="2:8">
      <c r="B61" s="2" t="s">
        <v>59</v>
      </c>
      <c r="C61" s="7">
        <f>C57*(14/2000)^2*3.14*1000</f>
        <v>2.3079000000000005</v>
      </c>
      <c r="D61" s="2" t="s">
        <v>43</v>
      </c>
      <c r="E61" s="2" t="s">
        <v>70</v>
      </c>
    </row>
    <row r="62" spans="2:8">
      <c r="B62" s="2" t="s">
        <v>65</v>
      </c>
      <c r="C62" s="7">
        <f>2*1.7</f>
        <v>3.4</v>
      </c>
      <c r="D62" s="2" t="s">
        <v>43</v>
      </c>
      <c r="E62" s="2" t="s">
        <v>68</v>
      </c>
    </row>
    <row r="63" spans="2:8">
      <c r="B63" s="2" t="s">
        <v>60</v>
      </c>
      <c r="C63" s="7">
        <v>7.5</v>
      </c>
      <c r="D63" s="2" t="s">
        <v>43</v>
      </c>
      <c r="E63" s="2" t="s">
        <v>69</v>
      </c>
    </row>
    <row r="64" spans="2:8">
      <c r="C64" s="7"/>
    </row>
    <row r="65" spans="2:5">
      <c r="B65" s="2" t="s">
        <v>64</v>
      </c>
      <c r="C65" s="7">
        <f>C62</f>
        <v>3.4</v>
      </c>
      <c r="D65" s="2" t="s">
        <v>43</v>
      </c>
    </row>
    <row r="66" spans="2:5">
      <c r="B66" s="2" t="s">
        <v>66</v>
      </c>
      <c r="C66" s="7">
        <f>C63+C61+C62</f>
        <v>13.2079</v>
      </c>
      <c r="D66" s="2" t="s">
        <v>43</v>
      </c>
    </row>
    <row r="67" spans="2:5">
      <c r="B67" s="2" t="s">
        <v>67</v>
      </c>
      <c r="C67" s="7">
        <f>(C66*0.07+C65)*1.1</f>
        <v>4.7570082999999999</v>
      </c>
      <c r="D67" s="2" t="s">
        <v>43</v>
      </c>
    </row>
    <row r="68" spans="2:5">
      <c r="B68" s="2" t="s">
        <v>71</v>
      </c>
      <c r="C68" s="7">
        <f>C67*(C59+1)/(C59-C58)</f>
        <v>7.7301384874999997</v>
      </c>
      <c r="D68" s="2" t="s">
        <v>43</v>
      </c>
    </row>
    <row r="69" spans="2:5">
      <c r="C69" s="7"/>
    </row>
    <row r="70" spans="2:5">
      <c r="C70" s="7"/>
    </row>
    <row r="71" spans="2:5" ht="15.6">
      <c r="B71" s="1" t="s">
        <v>85</v>
      </c>
      <c r="C71" s="7"/>
    </row>
    <row r="72" spans="2:5">
      <c r="B72" s="2" t="s">
        <v>76</v>
      </c>
      <c r="C72" s="7">
        <f>1.5*6+3*4+2+2+3+12</f>
        <v>40</v>
      </c>
      <c r="E72" s="2" t="s">
        <v>90</v>
      </c>
    </row>
    <row r="73" spans="2:5">
      <c r="B73" s="2" t="s">
        <v>77</v>
      </c>
      <c r="C73" s="2">
        <v>1.5</v>
      </c>
      <c r="D73" s="2" t="s">
        <v>78</v>
      </c>
    </row>
    <row r="74" spans="2:5">
      <c r="B74" s="2" t="s">
        <v>83</v>
      </c>
      <c r="C74" s="7">
        <f>C72*C73^2/19.62</f>
        <v>4.5871559633027523</v>
      </c>
      <c r="D74" s="2" t="s">
        <v>54</v>
      </c>
    </row>
    <row r="76" spans="2:5">
      <c r="B76" s="2" t="s">
        <v>86</v>
      </c>
      <c r="C76" s="2">
        <f>3.14*(C56/2000)^2</f>
        <v>1.5386000000000002E-4</v>
      </c>
      <c r="D76" s="2" t="s">
        <v>45</v>
      </c>
    </row>
    <row r="77" spans="2:5">
      <c r="B77" s="2" t="s">
        <v>87</v>
      </c>
      <c r="C77" s="2">
        <f>C76*C73</f>
        <v>2.3079000000000003E-4</v>
      </c>
      <c r="D77" s="2" t="s">
        <v>80</v>
      </c>
    </row>
    <row r="78" spans="2:5">
      <c r="C78" s="2">
        <f>1000*C77*3600</f>
        <v>830.84400000000005</v>
      </c>
      <c r="D78" s="2" t="s">
        <v>79</v>
      </c>
    </row>
    <row r="79" spans="2:5">
      <c r="B79" s="2" t="s">
        <v>84</v>
      </c>
      <c r="C79" s="2">
        <v>30</v>
      </c>
      <c r="D79" s="2" t="s">
        <v>81</v>
      </c>
    </row>
    <row r="80" spans="2:5">
      <c r="C80" s="2">
        <f>C79/1000*100000</f>
        <v>3000</v>
      </c>
      <c r="D80" s="2" t="s">
        <v>82</v>
      </c>
    </row>
    <row r="81" spans="2:4">
      <c r="B81" s="2" t="s">
        <v>95</v>
      </c>
      <c r="C81" s="12">
        <f>C80/9810</f>
        <v>0.3058103975535168</v>
      </c>
      <c r="D81" s="2" t="s">
        <v>54</v>
      </c>
    </row>
    <row r="84" spans="2:4">
      <c r="B84" s="2" t="s">
        <v>89</v>
      </c>
      <c r="C84" s="2">
        <f>0.477*10^-6</f>
        <v>4.7699999999999994E-7</v>
      </c>
    </row>
    <row r="85" spans="2:4">
      <c r="B85" s="2" t="s">
        <v>88</v>
      </c>
      <c r="C85" s="10">
        <f>C73*C56/1000/C84</f>
        <v>44025.157232704412</v>
      </c>
    </row>
    <row r="86" spans="2:4">
      <c r="B86" s="2" t="s">
        <v>91</v>
      </c>
      <c r="C86" s="2">
        <f>500*10^-6</f>
        <v>5.0000000000000001E-4</v>
      </c>
    </row>
    <row r="87" spans="2:4">
      <c r="B87" s="2" t="s">
        <v>92</v>
      </c>
      <c r="C87" s="11">
        <f>C86/(C56/1000)</f>
        <v>3.5714285714285712E-2</v>
      </c>
    </row>
    <row r="89" spans="2:4">
      <c r="B89" s="2" t="s">
        <v>93</v>
      </c>
      <c r="C89" s="12">
        <f>1.325*(LN(C87/3.7+5.74*C85^-0.9))^-2</f>
        <v>6.2565305248686212E-2</v>
      </c>
    </row>
    <row r="90" spans="2:4">
      <c r="B90" s="2" t="s">
        <v>94</v>
      </c>
      <c r="C90" s="7">
        <f>C89*C57/(C56/1000)*C73^2/19.62</f>
        <v>7.6874146357330693</v>
      </c>
      <c r="D90" s="2" t="s">
        <v>54</v>
      </c>
    </row>
    <row r="91" spans="2:4">
      <c r="B91" s="2" t="s">
        <v>99</v>
      </c>
    </row>
    <row r="93" spans="2:4">
      <c r="B93" s="2" t="s">
        <v>96</v>
      </c>
      <c r="C93" s="6">
        <f>C74+C81+C90</f>
        <v>12.580380996589337</v>
      </c>
      <c r="D93" s="2" t="s">
        <v>54</v>
      </c>
    </row>
    <row r="94" spans="2:4">
      <c r="B94" s="2" t="s">
        <v>97</v>
      </c>
      <c r="C94" s="7">
        <f>1000*C77*C93</f>
        <v>2.9034261302028535</v>
      </c>
      <c r="D94" s="2" t="s">
        <v>98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2021-04-26T15:28:25Z</dcterms:created>
  <dcterms:modified xsi:type="dcterms:W3CDTF">2021-04-26T16:51:50Z</dcterms:modified>
</cp:coreProperties>
</file>